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heets/sheet1.xml" ContentType="application/vnd.openxmlformats-officedocument.spreadsheetml.chart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dfior\Dropbox\FFootball\Yearly Stats\"/>
    </mc:Choice>
  </mc:AlternateContent>
  <xr:revisionPtr revIDLastSave="0" documentId="13_ncr:1_{0D29C677-5AEB-49AF-89F7-28C851CA5809}" xr6:coauthVersionLast="47" xr6:coauthVersionMax="47" xr10:uidLastSave="{00000000-0000-0000-0000-000000000000}"/>
  <bookViews>
    <workbookView xWindow="-120" yWindow="-120" windowWidth="29040" windowHeight="15720" tabRatio="811" firstSheet="3" activeTab="3" xr2:uid="{4DB60A3D-8DEF-4E5E-A6A3-BF550E33B638}"/>
  </bookViews>
  <sheets>
    <sheet name="How To" sheetId="13" state="hidden" r:id="rId1"/>
    <sheet name="Raw Data" sheetId="1" state="hidden" r:id="rId2"/>
    <sheet name="Calculations" sheetId="2" state="hidden" r:id="rId3"/>
    <sheet name="Standings" sheetId="3" r:id="rId4"/>
    <sheet name="Playoffs" sheetId="10" r:id="rId5"/>
    <sheet name="Weekly Pts" sheetId="4" r:id="rId6"/>
    <sheet name="Pts Graph" sheetId="12" r:id="rId7"/>
    <sheet name="Ranking" sheetId="5" r:id="rId8"/>
    <sheet name="Overall Graph" sheetId="11" r:id="rId9"/>
    <sheet name="Match-ups" sheetId="9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10" l="1"/>
  <c r="F195" i="2" l="1"/>
  <c r="F196" i="2"/>
  <c r="F197" i="2"/>
  <c r="F198" i="2"/>
  <c r="F191" i="2"/>
  <c r="F192" i="2"/>
  <c r="F193" i="2"/>
  <c r="F194" i="2"/>
  <c r="D198" i="2"/>
  <c r="I198" i="2" s="1"/>
  <c r="D197" i="2"/>
  <c r="I197" i="2" s="1"/>
  <c r="D196" i="2"/>
  <c r="D195" i="2"/>
  <c r="D194" i="2"/>
  <c r="D193" i="2"/>
  <c r="D192" i="2"/>
  <c r="D191" i="2"/>
  <c r="F190" i="2"/>
  <c r="F189" i="2"/>
  <c r="F188" i="2"/>
  <c r="F187" i="2"/>
  <c r="F186" i="2"/>
  <c r="F185" i="2"/>
  <c r="D190" i="2"/>
  <c r="D189" i="2"/>
  <c r="D188" i="2"/>
  <c r="D187" i="2"/>
  <c r="D186" i="2"/>
  <c r="I186" i="2" s="1"/>
  <c r="D185" i="2"/>
  <c r="I185" i="2" s="1"/>
  <c r="F184" i="2"/>
  <c r="D184" i="2"/>
  <c r="F183" i="2"/>
  <c r="D183" i="2"/>
  <c r="F182" i="2"/>
  <c r="D182" i="2"/>
  <c r="F181" i="2"/>
  <c r="D181" i="2"/>
  <c r="F180" i="2"/>
  <c r="D180" i="2"/>
  <c r="F179" i="2"/>
  <c r="D179" i="2"/>
  <c r="D178" i="2"/>
  <c r="I178" i="2" s="1"/>
  <c r="F174" i="2"/>
  <c r="F176" i="2"/>
  <c r="D172" i="2"/>
  <c r="D177" i="2"/>
  <c r="D176" i="2"/>
  <c r="D175" i="2"/>
  <c r="F178" i="2"/>
  <c r="F177" i="2"/>
  <c r="F175" i="2"/>
  <c r="D174" i="2"/>
  <c r="F173" i="2"/>
  <c r="D173" i="2"/>
  <c r="F172" i="2"/>
  <c r="F171" i="2"/>
  <c r="D171" i="2"/>
  <c r="I191" i="2" l="1"/>
  <c r="E6" i="10" s="1"/>
  <c r="E12" i="10" s="1"/>
  <c r="I183" i="2"/>
  <c r="C16" i="10" s="1"/>
  <c r="I182" i="2"/>
  <c r="C36" i="10" s="1"/>
  <c r="C38" i="10" s="1"/>
  <c r="I187" i="2"/>
  <c r="I177" i="2"/>
  <c r="I196" i="2"/>
  <c r="I192" i="2"/>
  <c r="E21" i="10" s="1"/>
  <c r="E23" i="10" s="1"/>
  <c r="I181" i="2"/>
  <c r="C32" i="10" s="1"/>
  <c r="C30" i="10" s="1"/>
  <c r="I180" i="2"/>
  <c r="C11" i="10" s="1"/>
  <c r="C13" i="10" s="1"/>
  <c r="I179" i="2"/>
  <c r="C7" i="10" s="1"/>
  <c r="C5" i="10" s="1"/>
  <c r="I174" i="2"/>
  <c r="A35" i="10" s="1"/>
  <c r="A37" i="10" s="1"/>
  <c r="I173" i="2"/>
  <c r="A31" i="10" s="1"/>
  <c r="I176" i="2"/>
  <c r="A12" i="10" s="1"/>
  <c r="I171" i="2"/>
  <c r="A6" i="10" s="1"/>
  <c r="I172" i="2"/>
  <c r="A10" i="10" s="1"/>
  <c r="I175" i="2"/>
  <c r="A8" i="10" s="1"/>
  <c r="I189" i="2"/>
  <c r="C18" i="10" s="1"/>
  <c r="I184" i="2"/>
  <c r="C41" i="10" s="1"/>
  <c r="C43" i="10" s="1"/>
  <c r="I195" i="2"/>
  <c r="I190" i="2"/>
  <c r="I194" i="2"/>
  <c r="E46" i="10" s="1"/>
  <c r="E48" i="10" s="1"/>
  <c r="I193" i="2"/>
  <c r="E31" i="10" s="1"/>
  <c r="E37" i="10" s="1"/>
  <c r="I188" i="2"/>
  <c r="A33" i="10" l="1"/>
  <c r="C4" i="9"/>
  <c r="E4" i="9" l="1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18" i="5"/>
  <c r="Q15" i="4"/>
  <c r="G4" i="9" l="1"/>
  <c r="A19" i="4"/>
  <c r="A20" i="4"/>
  <c r="A21" i="4"/>
  <c r="A22" i="4"/>
  <c r="A23" i="4"/>
  <c r="A24" i="4"/>
  <c r="A25" i="4"/>
  <c r="A26" i="4"/>
  <c r="A27" i="4"/>
  <c r="A28" i="4"/>
  <c r="A29" i="4"/>
  <c r="A18" i="4"/>
  <c r="A4" i="4"/>
  <c r="A5" i="4"/>
  <c r="A6" i="4"/>
  <c r="A7" i="4"/>
  <c r="A8" i="4"/>
  <c r="A9" i="4"/>
  <c r="A10" i="4"/>
  <c r="A11" i="4"/>
  <c r="A12" i="4"/>
  <c r="A13" i="4"/>
  <c r="A14" i="4"/>
  <c r="A3" i="4"/>
  <c r="A4" i="5"/>
  <c r="A5" i="5"/>
  <c r="A6" i="5"/>
  <c r="A7" i="5"/>
  <c r="A8" i="5"/>
  <c r="A9" i="5"/>
  <c r="A10" i="5"/>
  <c r="A11" i="5"/>
  <c r="A12" i="5"/>
  <c r="A13" i="5"/>
  <c r="A14" i="5"/>
  <c r="A15" i="5"/>
  <c r="A3" i="5"/>
  <c r="I4" i="9" l="1"/>
  <c r="Q3" i="2"/>
  <c r="X3" i="2" s="1"/>
  <c r="Q4" i="2"/>
  <c r="X4" i="2" s="1"/>
  <c r="Q5" i="2"/>
  <c r="X5" i="2" s="1"/>
  <c r="Q6" i="2"/>
  <c r="X6" i="2" s="1"/>
  <c r="Q7" i="2"/>
  <c r="X7" i="2" s="1"/>
  <c r="Q8" i="2"/>
  <c r="X8" i="2" s="1"/>
  <c r="Q9" i="2"/>
  <c r="X9" i="2" s="1"/>
  <c r="Q10" i="2"/>
  <c r="X10" i="2" s="1"/>
  <c r="Q11" i="2"/>
  <c r="X11" i="2" s="1"/>
  <c r="Q12" i="2"/>
  <c r="X12" i="2" s="1"/>
  <c r="Q13" i="2"/>
  <c r="X13" i="2" s="1"/>
  <c r="Q14" i="2"/>
  <c r="X14" i="2" s="1"/>
  <c r="H170" i="2"/>
  <c r="G170" i="2" s="1"/>
  <c r="F170" i="2"/>
  <c r="D170" i="2"/>
  <c r="B170" i="2"/>
  <c r="H169" i="2"/>
  <c r="G169" i="2" s="1"/>
  <c r="F169" i="2"/>
  <c r="D169" i="2"/>
  <c r="B169" i="2"/>
  <c r="H168" i="2"/>
  <c r="G168" i="2" s="1"/>
  <c r="F168" i="2"/>
  <c r="D168" i="2"/>
  <c r="B168" i="2"/>
  <c r="H167" i="2"/>
  <c r="G167" i="2" s="1"/>
  <c r="F167" i="2"/>
  <c r="D167" i="2"/>
  <c r="B167" i="2"/>
  <c r="H166" i="2"/>
  <c r="G166" i="2" s="1"/>
  <c r="F166" i="2"/>
  <c r="D166" i="2"/>
  <c r="B166" i="2"/>
  <c r="H165" i="2"/>
  <c r="G165" i="2" s="1"/>
  <c r="F165" i="2"/>
  <c r="D165" i="2"/>
  <c r="B165" i="2"/>
  <c r="H164" i="2"/>
  <c r="G164" i="2" s="1"/>
  <c r="F164" i="2"/>
  <c r="D164" i="2"/>
  <c r="B164" i="2"/>
  <c r="H163" i="2"/>
  <c r="G163" i="2" s="1"/>
  <c r="F163" i="2"/>
  <c r="D163" i="2"/>
  <c r="B163" i="2"/>
  <c r="H162" i="2"/>
  <c r="G162" i="2" s="1"/>
  <c r="F162" i="2"/>
  <c r="D162" i="2"/>
  <c r="B162" i="2"/>
  <c r="H161" i="2"/>
  <c r="G161" i="2" s="1"/>
  <c r="F161" i="2"/>
  <c r="D161" i="2"/>
  <c r="B161" i="2"/>
  <c r="H160" i="2"/>
  <c r="G160" i="2" s="1"/>
  <c r="F160" i="2"/>
  <c r="D160" i="2"/>
  <c r="B160" i="2"/>
  <c r="H159" i="2"/>
  <c r="G159" i="2" s="1"/>
  <c r="F159" i="2"/>
  <c r="D159" i="2"/>
  <c r="B159" i="2"/>
  <c r="H158" i="2"/>
  <c r="G158" i="2" s="1"/>
  <c r="F158" i="2"/>
  <c r="D158" i="2"/>
  <c r="B158" i="2"/>
  <c r="H157" i="2"/>
  <c r="G157" i="2" s="1"/>
  <c r="F157" i="2"/>
  <c r="D157" i="2"/>
  <c r="B157" i="2"/>
  <c r="H156" i="2"/>
  <c r="G156" i="2" s="1"/>
  <c r="F156" i="2"/>
  <c r="D156" i="2"/>
  <c r="B156" i="2"/>
  <c r="H155" i="2"/>
  <c r="G155" i="2" s="1"/>
  <c r="F155" i="2"/>
  <c r="D155" i="2"/>
  <c r="B155" i="2"/>
  <c r="H154" i="2"/>
  <c r="G154" i="2" s="1"/>
  <c r="F154" i="2"/>
  <c r="D154" i="2"/>
  <c r="B154" i="2"/>
  <c r="H153" i="2"/>
  <c r="G153" i="2" s="1"/>
  <c r="F153" i="2"/>
  <c r="D153" i="2"/>
  <c r="B153" i="2"/>
  <c r="H152" i="2"/>
  <c r="G152" i="2" s="1"/>
  <c r="F152" i="2"/>
  <c r="D152" i="2"/>
  <c r="B152" i="2"/>
  <c r="H151" i="2"/>
  <c r="G151" i="2" s="1"/>
  <c r="F151" i="2"/>
  <c r="D151" i="2"/>
  <c r="B151" i="2"/>
  <c r="H150" i="2"/>
  <c r="G150" i="2" s="1"/>
  <c r="F150" i="2"/>
  <c r="D150" i="2"/>
  <c r="B150" i="2"/>
  <c r="H149" i="2"/>
  <c r="G149" i="2" s="1"/>
  <c r="F149" i="2"/>
  <c r="D149" i="2"/>
  <c r="B149" i="2"/>
  <c r="H148" i="2"/>
  <c r="G148" i="2" s="1"/>
  <c r="F148" i="2"/>
  <c r="D148" i="2"/>
  <c r="B148" i="2"/>
  <c r="H147" i="2"/>
  <c r="G147" i="2" s="1"/>
  <c r="F147" i="2"/>
  <c r="D147" i="2"/>
  <c r="B147" i="2"/>
  <c r="H146" i="2"/>
  <c r="G146" i="2" s="1"/>
  <c r="F146" i="2"/>
  <c r="D146" i="2"/>
  <c r="B146" i="2"/>
  <c r="H145" i="2"/>
  <c r="G145" i="2" s="1"/>
  <c r="F145" i="2"/>
  <c r="D145" i="2"/>
  <c r="B145" i="2"/>
  <c r="H144" i="2"/>
  <c r="G144" i="2" s="1"/>
  <c r="F144" i="2"/>
  <c r="D144" i="2"/>
  <c r="B144" i="2"/>
  <c r="H143" i="2"/>
  <c r="G143" i="2" s="1"/>
  <c r="F143" i="2"/>
  <c r="D143" i="2"/>
  <c r="B143" i="2"/>
  <c r="H142" i="2"/>
  <c r="G142" i="2" s="1"/>
  <c r="F142" i="2"/>
  <c r="D142" i="2"/>
  <c r="B142" i="2"/>
  <c r="H141" i="2"/>
  <c r="G141" i="2" s="1"/>
  <c r="F141" i="2"/>
  <c r="D141" i="2"/>
  <c r="B141" i="2"/>
  <c r="H140" i="2"/>
  <c r="G140" i="2" s="1"/>
  <c r="F140" i="2"/>
  <c r="D140" i="2"/>
  <c r="B140" i="2"/>
  <c r="H139" i="2"/>
  <c r="G139" i="2" s="1"/>
  <c r="F139" i="2"/>
  <c r="D139" i="2"/>
  <c r="B139" i="2"/>
  <c r="H138" i="2"/>
  <c r="G138" i="2" s="1"/>
  <c r="F138" i="2"/>
  <c r="D138" i="2"/>
  <c r="B138" i="2"/>
  <c r="H137" i="2"/>
  <c r="G137" i="2" s="1"/>
  <c r="F137" i="2"/>
  <c r="D137" i="2"/>
  <c r="B137" i="2"/>
  <c r="H136" i="2"/>
  <c r="G136" i="2" s="1"/>
  <c r="F136" i="2"/>
  <c r="D136" i="2"/>
  <c r="B136" i="2"/>
  <c r="H135" i="2"/>
  <c r="G135" i="2" s="1"/>
  <c r="F135" i="2"/>
  <c r="D135" i="2"/>
  <c r="B135" i="2"/>
  <c r="H134" i="2"/>
  <c r="G134" i="2" s="1"/>
  <c r="F134" i="2"/>
  <c r="D134" i="2"/>
  <c r="B134" i="2"/>
  <c r="H133" i="2"/>
  <c r="G133" i="2" s="1"/>
  <c r="F133" i="2"/>
  <c r="D133" i="2"/>
  <c r="B133" i="2"/>
  <c r="H132" i="2"/>
  <c r="G132" i="2" s="1"/>
  <c r="F132" i="2"/>
  <c r="D132" i="2"/>
  <c r="B132" i="2"/>
  <c r="H131" i="2"/>
  <c r="G131" i="2" s="1"/>
  <c r="F131" i="2"/>
  <c r="D131" i="2"/>
  <c r="B131" i="2"/>
  <c r="H130" i="2"/>
  <c r="G130" i="2" s="1"/>
  <c r="F130" i="2"/>
  <c r="D130" i="2"/>
  <c r="B130" i="2"/>
  <c r="H129" i="2"/>
  <c r="G129" i="2" s="1"/>
  <c r="F129" i="2"/>
  <c r="D129" i="2"/>
  <c r="B129" i="2"/>
  <c r="H128" i="2"/>
  <c r="G128" i="2" s="1"/>
  <c r="F128" i="2"/>
  <c r="D128" i="2"/>
  <c r="B128" i="2"/>
  <c r="H127" i="2"/>
  <c r="G127" i="2" s="1"/>
  <c r="F127" i="2"/>
  <c r="D127" i="2"/>
  <c r="B127" i="2"/>
  <c r="H126" i="2"/>
  <c r="G126" i="2" s="1"/>
  <c r="F126" i="2"/>
  <c r="D126" i="2"/>
  <c r="B126" i="2"/>
  <c r="H125" i="2"/>
  <c r="G125" i="2" s="1"/>
  <c r="F125" i="2"/>
  <c r="D125" i="2"/>
  <c r="B125" i="2"/>
  <c r="H124" i="2"/>
  <c r="G124" i="2" s="1"/>
  <c r="F124" i="2"/>
  <c r="D124" i="2"/>
  <c r="B124" i="2"/>
  <c r="H123" i="2"/>
  <c r="G123" i="2" s="1"/>
  <c r="F123" i="2"/>
  <c r="D123" i="2"/>
  <c r="B123" i="2"/>
  <c r="H122" i="2"/>
  <c r="G122" i="2" s="1"/>
  <c r="F122" i="2"/>
  <c r="D122" i="2"/>
  <c r="B122" i="2"/>
  <c r="H121" i="2"/>
  <c r="G121" i="2" s="1"/>
  <c r="F121" i="2"/>
  <c r="D121" i="2"/>
  <c r="B121" i="2"/>
  <c r="H120" i="2"/>
  <c r="G120" i="2" s="1"/>
  <c r="F120" i="2"/>
  <c r="D120" i="2"/>
  <c r="B120" i="2"/>
  <c r="H119" i="2"/>
  <c r="G119" i="2" s="1"/>
  <c r="F119" i="2"/>
  <c r="D119" i="2"/>
  <c r="B119" i="2"/>
  <c r="H118" i="2"/>
  <c r="G118" i="2" s="1"/>
  <c r="F118" i="2"/>
  <c r="D118" i="2"/>
  <c r="B118" i="2"/>
  <c r="H117" i="2"/>
  <c r="G117" i="2" s="1"/>
  <c r="F117" i="2"/>
  <c r="D117" i="2"/>
  <c r="B117" i="2"/>
  <c r="H116" i="2"/>
  <c r="G116" i="2" s="1"/>
  <c r="F116" i="2"/>
  <c r="D116" i="2"/>
  <c r="B116" i="2"/>
  <c r="H115" i="2"/>
  <c r="G115" i="2" s="1"/>
  <c r="F115" i="2"/>
  <c r="D115" i="2"/>
  <c r="B115" i="2"/>
  <c r="H114" i="2"/>
  <c r="G114" i="2" s="1"/>
  <c r="F114" i="2"/>
  <c r="D114" i="2"/>
  <c r="B114" i="2"/>
  <c r="H113" i="2"/>
  <c r="G113" i="2" s="1"/>
  <c r="F113" i="2"/>
  <c r="D113" i="2"/>
  <c r="B113" i="2"/>
  <c r="H112" i="2"/>
  <c r="G112" i="2" s="1"/>
  <c r="F112" i="2"/>
  <c r="D112" i="2"/>
  <c r="B112" i="2"/>
  <c r="H111" i="2"/>
  <c r="G111" i="2" s="1"/>
  <c r="F111" i="2"/>
  <c r="D111" i="2"/>
  <c r="B111" i="2"/>
  <c r="H110" i="2"/>
  <c r="G110" i="2" s="1"/>
  <c r="F110" i="2"/>
  <c r="D110" i="2"/>
  <c r="B110" i="2"/>
  <c r="H109" i="2"/>
  <c r="G109" i="2" s="1"/>
  <c r="F109" i="2"/>
  <c r="D109" i="2"/>
  <c r="B109" i="2"/>
  <c r="H108" i="2"/>
  <c r="G108" i="2" s="1"/>
  <c r="F108" i="2"/>
  <c r="D108" i="2"/>
  <c r="B108" i="2"/>
  <c r="H107" i="2"/>
  <c r="G107" i="2" s="1"/>
  <c r="F107" i="2"/>
  <c r="D107" i="2"/>
  <c r="B107" i="2"/>
  <c r="H106" i="2"/>
  <c r="G106" i="2" s="1"/>
  <c r="F106" i="2"/>
  <c r="D106" i="2"/>
  <c r="B106" i="2"/>
  <c r="H105" i="2"/>
  <c r="G105" i="2" s="1"/>
  <c r="F105" i="2"/>
  <c r="D105" i="2"/>
  <c r="B105" i="2"/>
  <c r="H104" i="2"/>
  <c r="G104" i="2" s="1"/>
  <c r="F104" i="2"/>
  <c r="D104" i="2"/>
  <c r="B104" i="2"/>
  <c r="H103" i="2"/>
  <c r="G103" i="2" s="1"/>
  <c r="F103" i="2"/>
  <c r="D103" i="2"/>
  <c r="B103" i="2"/>
  <c r="H102" i="2"/>
  <c r="G102" i="2" s="1"/>
  <c r="F102" i="2"/>
  <c r="D102" i="2"/>
  <c r="B102" i="2"/>
  <c r="H101" i="2"/>
  <c r="G101" i="2" s="1"/>
  <c r="F101" i="2"/>
  <c r="D101" i="2"/>
  <c r="B101" i="2"/>
  <c r="H100" i="2"/>
  <c r="G100" i="2" s="1"/>
  <c r="F100" i="2"/>
  <c r="D100" i="2"/>
  <c r="B100" i="2"/>
  <c r="H99" i="2"/>
  <c r="G99" i="2" s="1"/>
  <c r="F99" i="2"/>
  <c r="D99" i="2"/>
  <c r="B99" i="2"/>
  <c r="H98" i="2"/>
  <c r="G98" i="2" s="1"/>
  <c r="F98" i="2"/>
  <c r="D98" i="2"/>
  <c r="B98" i="2"/>
  <c r="H97" i="2"/>
  <c r="G97" i="2" s="1"/>
  <c r="F97" i="2"/>
  <c r="D97" i="2"/>
  <c r="B97" i="2"/>
  <c r="H96" i="2"/>
  <c r="G96" i="2" s="1"/>
  <c r="F96" i="2"/>
  <c r="D96" i="2"/>
  <c r="B96" i="2"/>
  <c r="H95" i="2"/>
  <c r="G95" i="2" s="1"/>
  <c r="F95" i="2"/>
  <c r="D95" i="2"/>
  <c r="B95" i="2"/>
  <c r="H94" i="2"/>
  <c r="G94" i="2" s="1"/>
  <c r="F94" i="2"/>
  <c r="D94" i="2"/>
  <c r="B94" i="2"/>
  <c r="H93" i="2"/>
  <c r="G93" i="2" s="1"/>
  <c r="F93" i="2"/>
  <c r="D93" i="2"/>
  <c r="B93" i="2"/>
  <c r="H92" i="2"/>
  <c r="G92" i="2" s="1"/>
  <c r="F92" i="2"/>
  <c r="D92" i="2"/>
  <c r="B92" i="2"/>
  <c r="H91" i="2"/>
  <c r="G91" i="2" s="1"/>
  <c r="F91" i="2"/>
  <c r="D91" i="2"/>
  <c r="B91" i="2"/>
  <c r="H90" i="2"/>
  <c r="G90" i="2" s="1"/>
  <c r="F90" i="2"/>
  <c r="D90" i="2"/>
  <c r="B90" i="2"/>
  <c r="H89" i="2"/>
  <c r="G89" i="2" s="1"/>
  <c r="F89" i="2"/>
  <c r="D89" i="2"/>
  <c r="B89" i="2"/>
  <c r="H88" i="2"/>
  <c r="G88" i="2" s="1"/>
  <c r="F88" i="2"/>
  <c r="D88" i="2"/>
  <c r="B88" i="2"/>
  <c r="H87" i="2"/>
  <c r="G87" i="2" s="1"/>
  <c r="F87" i="2"/>
  <c r="D87" i="2"/>
  <c r="B87" i="2"/>
  <c r="H86" i="2"/>
  <c r="G86" i="2" s="1"/>
  <c r="F86" i="2"/>
  <c r="D86" i="2"/>
  <c r="B86" i="2"/>
  <c r="H85" i="2"/>
  <c r="G85" i="2" s="1"/>
  <c r="F85" i="2"/>
  <c r="D85" i="2"/>
  <c r="B85" i="2"/>
  <c r="H84" i="2"/>
  <c r="G84" i="2" s="1"/>
  <c r="F84" i="2"/>
  <c r="D84" i="2"/>
  <c r="B84" i="2"/>
  <c r="H83" i="2"/>
  <c r="G83" i="2" s="1"/>
  <c r="F83" i="2"/>
  <c r="D83" i="2"/>
  <c r="B83" i="2"/>
  <c r="H82" i="2"/>
  <c r="G82" i="2" s="1"/>
  <c r="F82" i="2"/>
  <c r="D82" i="2"/>
  <c r="B82" i="2"/>
  <c r="H81" i="2"/>
  <c r="G81" i="2" s="1"/>
  <c r="F81" i="2"/>
  <c r="D81" i="2"/>
  <c r="B81" i="2"/>
  <c r="H80" i="2"/>
  <c r="G80" i="2" s="1"/>
  <c r="F80" i="2"/>
  <c r="D80" i="2"/>
  <c r="B80" i="2"/>
  <c r="H79" i="2"/>
  <c r="G79" i="2" s="1"/>
  <c r="F79" i="2"/>
  <c r="D79" i="2"/>
  <c r="B79" i="2"/>
  <c r="H78" i="2"/>
  <c r="G78" i="2" s="1"/>
  <c r="F78" i="2"/>
  <c r="D78" i="2"/>
  <c r="B78" i="2"/>
  <c r="H77" i="2"/>
  <c r="G77" i="2" s="1"/>
  <c r="F77" i="2"/>
  <c r="D77" i="2"/>
  <c r="B77" i="2"/>
  <c r="H76" i="2"/>
  <c r="G76" i="2" s="1"/>
  <c r="F76" i="2"/>
  <c r="D76" i="2"/>
  <c r="B76" i="2"/>
  <c r="H75" i="2"/>
  <c r="G75" i="2" s="1"/>
  <c r="F75" i="2"/>
  <c r="D75" i="2"/>
  <c r="B75" i="2"/>
  <c r="H74" i="2"/>
  <c r="G74" i="2" s="1"/>
  <c r="F74" i="2"/>
  <c r="D74" i="2"/>
  <c r="B74" i="2"/>
  <c r="H73" i="2"/>
  <c r="G73" i="2" s="1"/>
  <c r="F73" i="2"/>
  <c r="D73" i="2"/>
  <c r="B73" i="2"/>
  <c r="H72" i="2"/>
  <c r="G72" i="2" s="1"/>
  <c r="F72" i="2"/>
  <c r="D72" i="2"/>
  <c r="B72" i="2"/>
  <c r="H71" i="2"/>
  <c r="G71" i="2" s="1"/>
  <c r="F71" i="2"/>
  <c r="D71" i="2"/>
  <c r="B71" i="2"/>
  <c r="H70" i="2"/>
  <c r="G70" i="2" s="1"/>
  <c r="F70" i="2"/>
  <c r="D70" i="2"/>
  <c r="B70" i="2"/>
  <c r="H69" i="2"/>
  <c r="G69" i="2" s="1"/>
  <c r="F69" i="2"/>
  <c r="D69" i="2"/>
  <c r="B69" i="2"/>
  <c r="H68" i="2"/>
  <c r="G68" i="2" s="1"/>
  <c r="F68" i="2"/>
  <c r="D68" i="2"/>
  <c r="B68" i="2"/>
  <c r="H67" i="2"/>
  <c r="G67" i="2" s="1"/>
  <c r="F67" i="2"/>
  <c r="D67" i="2"/>
  <c r="B67" i="2"/>
  <c r="H66" i="2"/>
  <c r="G66" i="2" s="1"/>
  <c r="F66" i="2"/>
  <c r="D66" i="2"/>
  <c r="B66" i="2"/>
  <c r="H65" i="2"/>
  <c r="G65" i="2" s="1"/>
  <c r="F65" i="2"/>
  <c r="D65" i="2"/>
  <c r="B65" i="2"/>
  <c r="H64" i="2"/>
  <c r="G64" i="2" s="1"/>
  <c r="F64" i="2"/>
  <c r="D64" i="2"/>
  <c r="B64" i="2"/>
  <c r="H63" i="2"/>
  <c r="G63" i="2" s="1"/>
  <c r="F63" i="2"/>
  <c r="D63" i="2"/>
  <c r="B63" i="2"/>
  <c r="H62" i="2"/>
  <c r="G62" i="2" s="1"/>
  <c r="F62" i="2"/>
  <c r="D62" i="2"/>
  <c r="B62" i="2"/>
  <c r="H61" i="2"/>
  <c r="G61" i="2" s="1"/>
  <c r="F61" i="2"/>
  <c r="D61" i="2"/>
  <c r="B61" i="2"/>
  <c r="H60" i="2"/>
  <c r="G60" i="2" s="1"/>
  <c r="F60" i="2"/>
  <c r="D60" i="2"/>
  <c r="B60" i="2"/>
  <c r="H59" i="2"/>
  <c r="G59" i="2" s="1"/>
  <c r="F59" i="2"/>
  <c r="D59" i="2"/>
  <c r="B59" i="2"/>
  <c r="H58" i="2"/>
  <c r="G58" i="2" s="1"/>
  <c r="F58" i="2"/>
  <c r="D58" i="2"/>
  <c r="B58" i="2"/>
  <c r="H57" i="2"/>
  <c r="G57" i="2" s="1"/>
  <c r="F57" i="2"/>
  <c r="D57" i="2"/>
  <c r="B57" i="2"/>
  <c r="H56" i="2"/>
  <c r="G56" i="2" s="1"/>
  <c r="F56" i="2"/>
  <c r="D56" i="2"/>
  <c r="B56" i="2"/>
  <c r="H55" i="2"/>
  <c r="G55" i="2" s="1"/>
  <c r="F55" i="2"/>
  <c r="D55" i="2"/>
  <c r="B55" i="2"/>
  <c r="H54" i="2"/>
  <c r="G54" i="2" s="1"/>
  <c r="F54" i="2"/>
  <c r="D54" i="2"/>
  <c r="B54" i="2"/>
  <c r="H53" i="2"/>
  <c r="G53" i="2" s="1"/>
  <c r="F53" i="2"/>
  <c r="D53" i="2"/>
  <c r="B53" i="2"/>
  <c r="H52" i="2"/>
  <c r="G52" i="2" s="1"/>
  <c r="F52" i="2"/>
  <c r="D52" i="2"/>
  <c r="B52" i="2"/>
  <c r="H51" i="2"/>
  <c r="G51" i="2" s="1"/>
  <c r="F51" i="2"/>
  <c r="D51" i="2"/>
  <c r="B51" i="2"/>
  <c r="H50" i="2"/>
  <c r="G50" i="2" s="1"/>
  <c r="F50" i="2"/>
  <c r="D50" i="2"/>
  <c r="B50" i="2"/>
  <c r="H49" i="2"/>
  <c r="G49" i="2" s="1"/>
  <c r="F49" i="2"/>
  <c r="D49" i="2"/>
  <c r="B49" i="2"/>
  <c r="H48" i="2"/>
  <c r="G48" i="2" s="1"/>
  <c r="F48" i="2"/>
  <c r="D48" i="2"/>
  <c r="B48" i="2"/>
  <c r="H47" i="2"/>
  <c r="G47" i="2" s="1"/>
  <c r="F47" i="2"/>
  <c r="D47" i="2"/>
  <c r="B47" i="2"/>
  <c r="H46" i="2"/>
  <c r="G46" i="2" s="1"/>
  <c r="F46" i="2"/>
  <c r="D46" i="2"/>
  <c r="B46" i="2"/>
  <c r="H45" i="2"/>
  <c r="G45" i="2" s="1"/>
  <c r="F45" i="2"/>
  <c r="D45" i="2"/>
  <c r="B45" i="2"/>
  <c r="H44" i="2"/>
  <c r="G44" i="2" s="1"/>
  <c r="F44" i="2"/>
  <c r="D44" i="2"/>
  <c r="B44" i="2"/>
  <c r="H43" i="2"/>
  <c r="G43" i="2" s="1"/>
  <c r="F43" i="2"/>
  <c r="D43" i="2"/>
  <c r="B43" i="2"/>
  <c r="H42" i="2"/>
  <c r="G42" i="2" s="1"/>
  <c r="F42" i="2"/>
  <c r="D42" i="2"/>
  <c r="B42" i="2"/>
  <c r="H41" i="2"/>
  <c r="G41" i="2" s="1"/>
  <c r="F41" i="2"/>
  <c r="D41" i="2"/>
  <c r="B41" i="2"/>
  <c r="H40" i="2"/>
  <c r="G40" i="2" s="1"/>
  <c r="F40" i="2"/>
  <c r="D40" i="2"/>
  <c r="B40" i="2"/>
  <c r="H39" i="2"/>
  <c r="G39" i="2" s="1"/>
  <c r="F39" i="2"/>
  <c r="D39" i="2"/>
  <c r="B39" i="2"/>
  <c r="H38" i="2"/>
  <c r="G38" i="2" s="1"/>
  <c r="F38" i="2"/>
  <c r="D38" i="2"/>
  <c r="B38" i="2"/>
  <c r="H37" i="2"/>
  <c r="G37" i="2" s="1"/>
  <c r="F37" i="2"/>
  <c r="D37" i="2"/>
  <c r="B37" i="2"/>
  <c r="H36" i="2"/>
  <c r="G36" i="2" s="1"/>
  <c r="F36" i="2"/>
  <c r="D36" i="2"/>
  <c r="B36" i="2"/>
  <c r="H35" i="2"/>
  <c r="G35" i="2" s="1"/>
  <c r="F35" i="2"/>
  <c r="D35" i="2"/>
  <c r="B35" i="2"/>
  <c r="H34" i="2"/>
  <c r="G34" i="2" s="1"/>
  <c r="F34" i="2"/>
  <c r="D34" i="2"/>
  <c r="B34" i="2"/>
  <c r="H33" i="2"/>
  <c r="G33" i="2" s="1"/>
  <c r="F33" i="2"/>
  <c r="D33" i="2"/>
  <c r="B33" i="2"/>
  <c r="H32" i="2"/>
  <c r="G32" i="2" s="1"/>
  <c r="F32" i="2"/>
  <c r="D32" i="2"/>
  <c r="B32" i="2"/>
  <c r="H31" i="2"/>
  <c r="G31" i="2" s="1"/>
  <c r="F31" i="2"/>
  <c r="D31" i="2"/>
  <c r="B31" i="2"/>
  <c r="H30" i="2"/>
  <c r="G30" i="2" s="1"/>
  <c r="F30" i="2"/>
  <c r="D30" i="2"/>
  <c r="B30" i="2"/>
  <c r="H29" i="2"/>
  <c r="G29" i="2" s="1"/>
  <c r="F29" i="2"/>
  <c r="D29" i="2"/>
  <c r="B29" i="2"/>
  <c r="H28" i="2"/>
  <c r="G28" i="2" s="1"/>
  <c r="F28" i="2"/>
  <c r="D28" i="2"/>
  <c r="B28" i="2"/>
  <c r="H27" i="2"/>
  <c r="G27" i="2" s="1"/>
  <c r="F27" i="2"/>
  <c r="D27" i="2"/>
  <c r="B27" i="2"/>
  <c r="H26" i="2"/>
  <c r="G26" i="2" s="1"/>
  <c r="F26" i="2"/>
  <c r="D26" i="2"/>
  <c r="B26" i="2"/>
  <c r="H25" i="2"/>
  <c r="G25" i="2" s="1"/>
  <c r="F25" i="2"/>
  <c r="D25" i="2"/>
  <c r="B25" i="2"/>
  <c r="H24" i="2"/>
  <c r="G24" i="2" s="1"/>
  <c r="F24" i="2"/>
  <c r="D24" i="2"/>
  <c r="B24" i="2"/>
  <c r="H23" i="2"/>
  <c r="G23" i="2" s="1"/>
  <c r="F23" i="2"/>
  <c r="D23" i="2"/>
  <c r="B23" i="2"/>
  <c r="H22" i="2"/>
  <c r="G22" i="2" s="1"/>
  <c r="F22" i="2"/>
  <c r="D22" i="2"/>
  <c r="B22" i="2"/>
  <c r="H21" i="2"/>
  <c r="G21" i="2" s="1"/>
  <c r="F21" i="2"/>
  <c r="D21" i="2"/>
  <c r="B21" i="2"/>
  <c r="H20" i="2"/>
  <c r="G20" i="2" s="1"/>
  <c r="F20" i="2"/>
  <c r="D20" i="2"/>
  <c r="B20" i="2"/>
  <c r="H19" i="2"/>
  <c r="G19" i="2" s="1"/>
  <c r="F19" i="2"/>
  <c r="D19" i="2"/>
  <c r="B19" i="2"/>
  <c r="H18" i="2"/>
  <c r="G18" i="2" s="1"/>
  <c r="F18" i="2"/>
  <c r="D18" i="2"/>
  <c r="B18" i="2"/>
  <c r="H17" i="2"/>
  <c r="G17" i="2" s="1"/>
  <c r="F17" i="2"/>
  <c r="D17" i="2"/>
  <c r="B17" i="2"/>
  <c r="H16" i="2"/>
  <c r="G16" i="2" s="1"/>
  <c r="F16" i="2"/>
  <c r="D16" i="2"/>
  <c r="B16" i="2"/>
  <c r="H15" i="2"/>
  <c r="G15" i="2" s="1"/>
  <c r="F15" i="2"/>
  <c r="D15" i="2"/>
  <c r="B15" i="2"/>
  <c r="B14" i="2"/>
  <c r="B13" i="2"/>
  <c r="B12" i="2"/>
  <c r="B11" i="2"/>
  <c r="B10" i="2"/>
  <c r="B9" i="2"/>
  <c r="D14" i="2"/>
  <c r="D13" i="2"/>
  <c r="D12" i="2"/>
  <c r="D11" i="2"/>
  <c r="D10" i="2"/>
  <c r="D9" i="2"/>
  <c r="F14" i="2"/>
  <c r="F13" i="2"/>
  <c r="F12" i="2"/>
  <c r="F11" i="2"/>
  <c r="F10" i="2"/>
  <c r="F9" i="2"/>
  <c r="H14" i="2"/>
  <c r="G14" i="2" s="1"/>
  <c r="H13" i="2"/>
  <c r="G13" i="2" s="1"/>
  <c r="H12" i="2"/>
  <c r="G12" i="2" s="1"/>
  <c r="H11" i="2"/>
  <c r="G11" i="2" s="1"/>
  <c r="H10" i="2"/>
  <c r="G10" i="2" s="1"/>
  <c r="H9" i="2"/>
  <c r="G9" i="2" s="1"/>
  <c r="H8" i="2"/>
  <c r="G8" i="2" s="1"/>
  <c r="F8" i="2"/>
  <c r="D8" i="2"/>
  <c r="B8" i="2"/>
  <c r="H7" i="2"/>
  <c r="G7" i="2" s="1"/>
  <c r="F7" i="2"/>
  <c r="D7" i="2"/>
  <c r="B7" i="2"/>
  <c r="H6" i="2"/>
  <c r="G6" i="2" s="1"/>
  <c r="F6" i="2"/>
  <c r="D6" i="2"/>
  <c r="B6" i="2"/>
  <c r="H5" i="2"/>
  <c r="G5" i="2" s="1"/>
  <c r="F5" i="2"/>
  <c r="D5" i="2"/>
  <c r="B5" i="2"/>
  <c r="H4" i="2"/>
  <c r="G4" i="2" s="1"/>
  <c r="F4" i="2"/>
  <c r="D4" i="2"/>
  <c r="B4" i="2"/>
  <c r="H3" i="2"/>
  <c r="G3" i="2" s="1"/>
  <c r="F3" i="2"/>
  <c r="D3" i="2"/>
  <c r="B3" i="2"/>
  <c r="AA8" i="2" a="1"/>
  <c r="AA4" i="2" a="1"/>
  <c r="AA5" i="2" a="1"/>
  <c r="AA6" i="2" a="1"/>
  <c r="AA7" i="2" a="1"/>
  <c r="AA3" i="2" a="1"/>
  <c r="AA11" i="2" a="1"/>
  <c r="AA14" i="2" a="1"/>
  <c r="AA12" i="2" a="1"/>
  <c r="AA10" i="2" a="1"/>
  <c r="AA13" i="2" a="1"/>
  <c r="AA9" i="2" a="1"/>
  <c r="AA7" i="2" l="1"/>
  <c r="AA13" i="2"/>
  <c r="AA11" i="2"/>
  <c r="AA10" i="2"/>
  <c r="AA9" i="2"/>
  <c r="AA14" i="2"/>
  <c r="AA6" i="2"/>
  <c r="AA5" i="2"/>
  <c r="AA12" i="2"/>
  <c r="AA4" i="2"/>
  <c r="AA3" i="2"/>
  <c r="AA8" i="2"/>
  <c r="K4" i="9"/>
  <c r="I24" i="2"/>
  <c r="C24" i="2"/>
  <c r="J24" i="2"/>
  <c r="K24" i="2" s="1"/>
  <c r="L24" i="2"/>
  <c r="I6" i="2"/>
  <c r="J6" i="2"/>
  <c r="K6" i="2" s="1"/>
  <c r="L6" i="2"/>
  <c r="C6" i="2"/>
  <c r="L18" i="2"/>
  <c r="C18" i="2"/>
  <c r="J18" i="2"/>
  <c r="K18" i="2" s="1"/>
  <c r="I18" i="2"/>
  <c r="C9" i="2"/>
  <c r="I9" i="2"/>
  <c r="J9" i="2"/>
  <c r="K9" i="2" s="1"/>
  <c r="L9" i="2"/>
  <c r="L10" i="2"/>
  <c r="C10" i="2"/>
  <c r="J10" i="2"/>
  <c r="K10" i="2" s="1"/>
  <c r="I10" i="2"/>
  <c r="I20" i="2"/>
  <c r="J20" i="2"/>
  <c r="K20" i="2" s="1"/>
  <c r="L20" i="2"/>
  <c r="C20" i="2"/>
  <c r="C8" i="2"/>
  <c r="I8" i="2"/>
  <c r="J8" i="2"/>
  <c r="K8" i="2" s="1"/>
  <c r="L8" i="2"/>
  <c r="C12" i="2"/>
  <c r="I12" i="2"/>
  <c r="J12" i="2"/>
  <c r="K12" i="2" s="1"/>
  <c r="L12" i="2"/>
  <c r="I11" i="2"/>
  <c r="J11" i="2"/>
  <c r="K11" i="2" s="1"/>
  <c r="L11" i="2"/>
  <c r="C11" i="2"/>
  <c r="L26" i="2"/>
  <c r="C26" i="2"/>
  <c r="J26" i="2"/>
  <c r="K26" i="2" s="1"/>
  <c r="I26" i="2"/>
  <c r="C13" i="2"/>
  <c r="I13" i="2"/>
  <c r="J13" i="2"/>
  <c r="K13" i="2" s="1"/>
  <c r="L13" i="2"/>
  <c r="I19" i="2"/>
  <c r="J19" i="2"/>
  <c r="K19" i="2" s="1"/>
  <c r="L19" i="2"/>
  <c r="C19" i="2"/>
  <c r="J3" i="2"/>
  <c r="K3" i="2" s="1"/>
  <c r="L3" i="2"/>
  <c r="C15" i="2"/>
  <c r="I15" i="2"/>
  <c r="J15" i="2"/>
  <c r="K15" i="2" s="1"/>
  <c r="L15" i="2"/>
  <c r="I21" i="2"/>
  <c r="J21" i="2"/>
  <c r="K21" i="2" s="1"/>
  <c r="L21" i="2"/>
  <c r="C21" i="2"/>
  <c r="V14" i="2"/>
  <c r="U14" i="2"/>
  <c r="V13" i="2"/>
  <c r="U13" i="2"/>
  <c r="U12" i="2"/>
  <c r="V12" i="2"/>
  <c r="V11" i="2"/>
  <c r="U11" i="2"/>
  <c r="V10" i="2"/>
  <c r="U10" i="2"/>
  <c r="V9" i="2"/>
  <c r="U9" i="2"/>
  <c r="I22" i="2"/>
  <c r="J22" i="2"/>
  <c r="K22" i="2" s="1"/>
  <c r="L22" i="2"/>
  <c r="C22" i="2"/>
  <c r="V8" i="2"/>
  <c r="U8" i="2"/>
  <c r="I7" i="2"/>
  <c r="J7" i="2"/>
  <c r="K7" i="2" s="1"/>
  <c r="L7" i="2"/>
  <c r="C7" i="2"/>
  <c r="C25" i="2"/>
  <c r="I25" i="2"/>
  <c r="J25" i="2"/>
  <c r="K25" i="2" s="1"/>
  <c r="L25" i="2"/>
  <c r="C4" i="2"/>
  <c r="I4" i="2"/>
  <c r="J4" i="2"/>
  <c r="K4" i="2" s="1"/>
  <c r="L4" i="2"/>
  <c r="U7" i="2"/>
  <c r="V7" i="2"/>
  <c r="C14" i="2"/>
  <c r="I14" i="2"/>
  <c r="J14" i="2"/>
  <c r="K14" i="2" s="1"/>
  <c r="L14" i="2"/>
  <c r="C23" i="2"/>
  <c r="I23" i="2"/>
  <c r="J23" i="2"/>
  <c r="K23" i="2" s="1"/>
  <c r="L23" i="2"/>
  <c r="V6" i="2"/>
  <c r="U6" i="2"/>
  <c r="C17" i="2"/>
  <c r="I17" i="2"/>
  <c r="J17" i="2"/>
  <c r="K17" i="2" s="1"/>
  <c r="L17" i="2"/>
  <c r="V5" i="2"/>
  <c r="U5" i="2"/>
  <c r="C16" i="2"/>
  <c r="I16" i="2"/>
  <c r="J16" i="2"/>
  <c r="K16" i="2" s="1"/>
  <c r="L16" i="2"/>
  <c r="C5" i="2"/>
  <c r="I5" i="2"/>
  <c r="J5" i="2"/>
  <c r="K5" i="2" s="1"/>
  <c r="L5" i="2"/>
  <c r="V4" i="2"/>
  <c r="U4" i="2"/>
  <c r="V3" i="2"/>
  <c r="U3" i="2"/>
  <c r="C163" i="2"/>
  <c r="I163" i="2"/>
  <c r="L163" i="2"/>
  <c r="J163" i="2"/>
  <c r="K163" i="2" s="1"/>
  <c r="C170" i="2"/>
  <c r="I170" i="2"/>
  <c r="J170" i="2"/>
  <c r="K170" i="2" s="1"/>
  <c r="L170" i="2"/>
  <c r="C165" i="2"/>
  <c r="J165" i="2"/>
  <c r="K165" i="2" s="1"/>
  <c r="I165" i="2"/>
  <c r="L165" i="2"/>
  <c r="I168" i="2"/>
  <c r="J168" i="2"/>
  <c r="K168" i="2" s="1"/>
  <c r="L168" i="2"/>
  <c r="C168" i="2"/>
  <c r="C162" i="2"/>
  <c r="I162" i="2"/>
  <c r="J162" i="2"/>
  <c r="K162" i="2" s="1"/>
  <c r="L162" i="2"/>
  <c r="L169" i="2"/>
  <c r="I169" i="2"/>
  <c r="C169" i="2"/>
  <c r="J169" i="2"/>
  <c r="K169" i="2" s="1"/>
  <c r="J160" i="2"/>
  <c r="K160" i="2" s="1"/>
  <c r="L160" i="2"/>
  <c r="I160" i="2"/>
  <c r="C160" i="2"/>
  <c r="C166" i="2"/>
  <c r="L166" i="2"/>
  <c r="I166" i="2"/>
  <c r="J166" i="2"/>
  <c r="K166" i="2" s="1"/>
  <c r="C164" i="2"/>
  <c r="I164" i="2"/>
  <c r="J164" i="2"/>
  <c r="K164" i="2" s="1"/>
  <c r="L164" i="2"/>
  <c r="L161" i="2"/>
  <c r="J161" i="2"/>
  <c r="K161" i="2" s="1"/>
  <c r="C161" i="2"/>
  <c r="I161" i="2"/>
  <c r="L167" i="2"/>
  <c r="C167" i="2"/>
  <c r="I167" i="2"/>
  <c r="J167" i="2"/>
  <c r="K167" i="2" s="1"/>
  <c r="C159" i="2"/>
  <c r="J159" i="2"/>
  <c r="K159" i="2" s="1"/>
  <c r="I159" i="2"/>
  <c r="L159" i="2"/>
  <c r="L157" i="2"/>
  <c r="I157" i="2"/>
  <c r="J157" i="2"/>
  <c r="K157" i="2" s="1"/>
  <c r="C157" i="2"/>
  <c r="I151" i="2"/>
  <c r="L151" i="2"/>
  <c r="J151" i="2"/>
  <c r="C151" i="2"/>
  <c r="I158" i="2"/>
  <c r="J158" i="2"/>
  <c r="K158" i="2" s="1"/>
  <c r="C158" i="2"/>
  <c r="L158" i="2"/>
  <c r="I150" i="2"/>
  <c r="J150" i="2"/>
  <c r="K150" i="2" s="1"/>
  <c r="L150" i="2"/>
  <c r="C150" i="2"/>
  <c r="C147" i="2"/>
  <c r="I147" i="2"/>
  <c r="J147" i="2"/>
  <c r="K147" i="2" s="1"/>
  <c r="L147" i="2"/>
  <c r="I153" i="2"/>
  <c r="C153" i="2"/>
  <c r="J153" i="2"/>
  <c r="K153" i="2" s="1"/>
  <c r="L153" i="2"/>
  <c r="C148" i="2"/>
  <c r="I148" i="2"/>
  <c r="L148" i="2"/>
  <c r="J148" i="2"/>
  <c r="K148" i="2" s="1"/>
  <c r="I154" i="2"/>
  <c r="C154" i="2"/>
  <c r="L154" i="2"/>
  <c r="J154" i="2"/>
  <c r="K154" i="2" s="1"/>
  <c r="I152" i="2"/>
  <c r="J152" i="2"/>
  <c r="K152" i="2" s="1"/>
  <c r="L152" i="2"/>
  <c r="C152" i="2"/>
  <c r="L149" i="2"/>
  <c r="C149" i="2"/>
  <c r="J149" i="2"/>
  <c r="K149" i="2" s="1"/>
  <c r="I149" i="2"/>
  <c r="L155" i="2"/>
  <c r="C155" i="2"/>
  <c r="J155" i="2"/>
  <c r="K155" i="2" s="1"/>
  <c r="I155" i="2"/>
  <c r="I156" i="2"/>
  <c r="J156" i="2"/>
  <c r="K156" i="2" s="1"/>
  <c r="L156" i="2"/>
  <c r="C156" i="2"/>
  <c r="C135" i="2"/>
  <c r="J135" i="2"/>
  <c r="K135" i="2" s="1"/>
  <c r="I135" i="2"/>
  <c r="L135" i="2"/>
  <c r="C141" i="2"/>
  <c r="J141" i="2"/>
  <c r="K141" i="2" s="1"/>
  <c r="I141" i="2"/>
  <c r="L141" i="2"/>
  <c r="I136" i="2"/>
  <c r="L136" i="2"/>
  <c r="J136" i="2"/>
  <c r="K136" i="2" s="1"/>
  <c r="C136" i="2"/>
  <c r="C142" i="2"/>
  <c r="L142" i="2"/>
  <c r="I142" i="2"/>
  <c r="J142" i="2"/>
  <c r="K142" i="2" s="1"/>
  <c r="C140" i="2"/>
  <c r="I140" i="2"/>
  <c r="J140" i="2"/>
  <c r="L140" i="2"/>
  <c r="C138" i="2"/>
  <c r="I138" i="2"/>
  <c r="J138" i="2"/>
  <c r="K138" i="2" s="1"/>
  <c r="L138" i="2"/>
  <c r="C139" i="2"/>
  <c r="I139" i="2"/>
  <c r="J139" i="2"/>
  <c r="K139" i="2" s="1"/>
  <c r="L139" i="2"/>
  <c r="I144" i="2"/>
  <c r="J144" i="2"/>
  <c r="K144" i="2" s="1"/>
  <c r="L144" i="2"/>
  <c r="C144" i="2"/>
  <c r="L137" i="2"/>
  <c r="J137" i="2"/>
  <c r="K137" i="2" s="1"/>
  <c r="I137" i="2"/>
  <c r="C137" i="2"/>
  <c r="L143" i="2"/>
  <c r="C143" i="2"/>
  <c r="J143" i="2"/>
  <c r="K143" i="2" s="1"/>
  <c r="I143" i="2"/>
  <c r="C146" i="2"/>
  <c r="I146" i="2"/>
  <c r="J146" i="2"/>
  <c r="K146" i="2" s="1"/>
  <c r="L146" i="2"/>
  <c r="C145" i="2"/>
  <c r="I145" i="2"/>
  <c r="J145" i="2"/>
  <c r="K145" i="2" s="1"/>
  <c r="L145" i="2"/>
  <c r="I129" i="2"/>
  <c r="J129" i="2"/>
  <c r="K129" i="2" s="1"/>
  <c r="C129" i="2"/>
  <c r="L129" i="2"/>
  <c r="L133" i="2"/>
  <c r="I133" i="2"/>
  <c r="C133" i="2"/>
  <c r="J133" i="2"/>
  <c r="K133" i="2" s="1"/>
  <c r="I128" i="2"/>
  <c r="J128" i="2"/>
  <c r="K128" i="2" s="1"/>
  <c r="L128" i="2"/>
  <c r="C128" i="2"/>
  <c r="I126" i="2"/>
  <c r="J126" i="2"/>
  <c r="K126" i="2" s="1"/>
  <c r="L126" i="2"/>
  <c r="C126" i="2"/>
  <c r="I134" i="2"/>
  <c r="J134" i="2"/>
  <c r="K134" i="2" s="1"/>
  <c r="L134" i="2"/>
  <c r="C134" i="2"/>
  <c r="I132" i="2"/>
  <c r="J132" i="2"/>
  <c r="K132" i="2" s="1"/>
  <c r="L132" i="2"/>
  <c r="C132" i="2"/>
  <c r="C124" i="2"/>
  <c r="I124" i="2"/>
  <c r="L124" i="2"/>
  <c r="J124" i="2"/>
  <c r="K124" i="2" s="1"/>
  <c r="I130" i="2"/>
  <c r="C130" i="2"/>
  <c r="L130" i="2"/>
  <c r="J130" i="2"/>
  <c r="K130" i="2" s="1"/>
  <c r="C123" i="2"/>
  <c r="J123" i="2"/>
  <c r="K123" i="2" s="1"/>
  <c r="I123" i="2"/>
  <c r="L123" i="2"/>
  <c r="L125" i="2"/>
  <c r="C125" i="2"/>
  <c r="I125" i="2"/>
  <c r="J125" i="2"/>
  <c r="K125" i="2" s="1"/>
  <c r="L131" i="2"/>
  <c r="C131" i="2"/>
  <c r="I131" i="2"/>
  <c r="J131" i="2"/>
  <c r="K131" i="2" s="1"/>
  <c r="I127" i="2"/>
  <c r="J127" i="2"/>
  <c r="K127" i="2" s="1"/>
  <c r="L127" i="2"/>
  <c r="C127" i="2"/>
  <c r="C115" i="2"/>
  <c r="I115" i="2"/>
  <c r="J115" i="2"/>
  <c r="K115" i="2" s="1"/>
  <c r="L115" i="2"/>
  <c r="C116" i="2"/>
  <c r="I116" i="2"/>
  <c r="J116" i="2"/>
  <c r="K116" i="2" s="1"/>
  <c r="L116" i="2"/>
  <c r="C122" i="2"/>
  <c r="I122" i="2"/>
  <c r="J122" i="2"/>
  <c r="K122" i="2" s="1"/>
  <c r="L122" i="2"/>
  <c r="I120" i="2"/>
  <c r="J120" i="2"/>
  <c r="K120" i="2" s="1"/>
  <c r="L120" i="2"/>
  <c r="C120" i="2"/>
  <c r="I114" i="2"/>
  <c r="J114" i="2"/>
  <c r="L114" i="2"/>
  <c r="C114" i="2"/>
  <c r="I121" i="2"/>
  <c r="C121" i="2"/>
  <c r="L121" i="2"/>
  <c r="J121" i="2"/>
  <c r="K121" i="2" s="1"/>
  <c r="C117" i="2"/>
  <c r="J117" i="2"/>
  <c r="K117" i="2" s="1"/>
  <c r="I117" i="2"/>
  <c r="L117" i="2"/>
  <c r="C111" i="2"/>
  <c r="J111" i="2"/>
  <c r="K111" i="2" s="1"/>
  <c r="I111" i="2"/>
  <c r="L111" i="2"/>
  <c r="C112" i="2"/>
  <c r="I112" i="2"/>
  <c r="L112" i="2"/>
  <c r="J112" i="2"/>
  <c r="K112" i="2" s="1"/>
  <c r="C118" i="2"/>
  <c r="I118" i="2"/>
  <c r="L118" i="2"/>
  <c r="J118" i="2"/>
  <c r="K118" i="2" s="1"/>
  <c r="L113" i="2"/>
  <c r="I113" i="2"/>
  <c r="C113" i="2"/>
  <c r="J113" i="2"/>
  <c r="K113" i="2" s="1"/>
  <c r="L119" i="2"/>
  <c r="C119" i="2"/>
  <c r="I119" i="2"/>
  <c r="J119" i="2"/>
  <c r="K119" i="2" s="1"/>
  <c r="I109" i="2"/>
  <c r="L109" i="2"/>
  <c r="J109" i="2"/>
  <c r="K109" i="2" s="1"/>
  <c r="C109" i="2"/>
  <c r="I104" i="2"/>
  <c r="J104" i="2"/>
  <c r="K104" i="2" s="1"/>
  <c r="L104" i="2"/>
  <c r="C104" i="2"/>
  <c r="J105" i="2"/>
  <c r="K105" i="2" s="1"/>
  <c r="I105" i="2"/>
  <c r="C105" i="2"/>
  <c r="L105" i="2"/>
  <c r="L100" i="2"/>
  <c r="C100" i="2"/>
  <c r="I100" i="2"/>
  <c r="J100" i="2"/>
  <c r="K100" i="2" s="1"/>
  <c r="L106" i="2"/>
  <c r="C106" i="2"/>
  <c r="I106" i="2"/>
  <c r="J106" i="2"/>
  <c r="K106" i="2" s="1"/>
  <c r="I102" i="2"/>
  <c r="J102" i="2"/>
  <c r="K102" i="2" s="1"/>
  <c r="L102" i="2"/>
  <c r="C102" i="2"/>
  <c r="C110" i="2"/>
  <c r="I110" i="2"/>
  <c r="J110" i="2"/>
  <c r="K110" i="2" s="1"/>
  <c r="L110" i="2"/>
  <c r="I108" i="2"/>
  <c r="J108" i="2"/>
  <c r="K108" i="2" s="1"/>
  <c r="L108" i="2"/>
  <c r="C108" i="2"/>
  <c r="I103" i="2"/>
  <c r="J103" i="2"/>
  <c r="K103" i="2" s="1"/>
  <c r="L103" i="2"/>
  <c r="C103" i="2"/>
  <c r="C99" i="2"/>
  <c r="J99" i="2"/>
  <c r="K99" i="2" s="1"/>
  <c r="I99" i="2"/>
  <c r="L99" i="2"/>
  <c r="L101" i="2"/>
  <c r="C101" i="2"/>
  <c r="I101" i="2"/>
  <c r="J101" i="2"/>
  <c r="K101" i="2" s="1"/>
  <c r="L107" i="2"/>
  <c r="C107" i="2"/>
  <c r="I107" i="2"/>
  <c r="J107" i="2"/>
  <c r="K107" i="2" s="1"/>
  <c r="C97" i="2"/>
  <c r="I97" i="2"/>
  <c r="J97" i="2"/>
  <c r="K97" i="2" s="1"/>
  <c r="L97" i="2"/>
  <c r="I90" i="2"/>
  <c r="J90" i="2"/>
  <c r="K90" i="2" s="1"/>
  <c r="L90" i="2"/>
  <c r="C90" i="2"/>
  <c r="C91" i="2"/>
  <c r="I91" i="2"/>
  <c r="J91" i="2"/>
  <c r="K91" i="2" s="1"/>
  <c r="L91" i="2"/>
  <c r="C92" i="2"/>
  <c r="L92" i="2"/>
  <c r="I92" i="2"/>
  <c r="J92" i="2"/>
  <c r="K92" i="2" s="1"/>
  <c r="L98" i="2"/>
  <c r="C98" i="2"/>
  <c r="I98" i="2"/>
  <c r="J98" i="2"/>
  <c r="K98" i="2" s="1"/>
  <c r="I93" i="2"/>
  <c r="C93" i="2"/>
  <c r="J93" i="2"/>
  <c r="K93" i="2" s="1"/>
  <c r="L93" i="2"/>
  <c r="C94" i="2"/>
  <c r="I94" i="2"/>
  <c r="L94" i="2"/>
  <c r="J94" i="2"/>
  <c r="K94" i="2" s="1"/>
  <c r="I88" i="2"/>
  <c r="L88" i="2"/>
  <c r="C88" i="2"/>
  <c r="J88" i="2"/>
  <c r="K88" i="2" s="1"/>
  <c r="L89" i="2"/>
  <c r="I89" i="2"/>
  <c r="C89" i="2"/>
  <c r="J89" i="2"/>
  <c r="L95" i="2"/>
  <c r="C95" i="2"/>
  <c r="I95" i="2"/>
  <c r="J95" i="2"/>
  <c r="K95" i="2" s="1"/>
  <c r="I96" i="2"/>
  <c r="J96" i="2"/>
  <c r="K96" i="2" s="1"/>
  <c r="L96" i="2"/>
  <c r="C96" i="2"/>
  <c r="I87" i="2"/>
  <c r="J87" i="2"/>
  <c r="K87" i="2" s="1"/>
  <c r="L87" i="2"/>
  <c r="C87" i="2"/>
  <c r="I86" i="2"/>
  <c r="J86" i="2"/>
  <c r="K86" i="2" s="1"/>
  <c r="L86" i="2"/>
  <c r="C86" i="2"/>
  <c r="I84" i="2"/>
  <c r="J84" i="2"/>
  <c r="K84" i="2" s="1"/>
  <c r="L84" i="2"/>
  <c r="C84" i="2"/>
  <c r="I80" i="2"/>
  <c r="J80" i="2"/>
  <c r="K80" i="2" s="1"/>
  <c r="L80" i="2"/>
  <c r="C80" i="2"/>
  <c r="I78" i="2"/>
  <c r="J78" i="2"/>
  <c r="K78" i="2" s="1"/>
  <c r="L78" i="2"/>
  <c r="C78" i="2"/>
  <c r="C76" i="2"/>
  <c r="I76" i="2"/>
  <c r="J76" i="2"/>
  <c r="K76" i="2" s="1"/>
  <c r="L76" i="2"/>
  <c r="L77" i="2"/>
  <c r="C77" i="2"/>
  <c r="I77" i="2"/>
  <c r="J77" i="2"/>
  <c r="K77" i="2" s="1"/>
  <c r="L83" i="2"/>
  <c r="C83" i="2"/>
  <c r="I83" i="2"/>
  <c r="J83" i="2"/>
  <c r="K83" i="2" s="1"/>
  <c r="C82" i="2"/>
  <c r="I82" i="2"/>
  <c r="J82" i="2"/>
  <c r="K82" i="2" s="1"/>
  <c r="L82" i="2"/>
  <c r="I79" i="2"/>
  <c r="C79" i="2"/>
  <c r="J79" i="2"/>
  <c r="K79" i="2" s="1"/>
  <c r="L79" i="2"/>
  <c r="C75" i="2"/>
  <c r="J75" i="2"/>
  <c r="K75" i="2" s="1"/>
  <c r="I75" i="2"/>
  <c r="L75" i="2"/>
  <c r="I85" i="2"/>
  <c r="J85" i="2"/>
  <c r="K85" i="2" s="1"/>
  <c r="L85" i="2"/>
  <c r="C85" i="2"/>
  <c r="J81" i="2"/>
  <c r="K81" i="2" s="1"/>
  <c r="I81" i="2"/>
  <c r="C81" i="2"/>
  <c r="L81" i="2"/>
  <c r="L74" i="2"/>
  <c r="C74" i="2"/>
  <c r="I74" i="2"/>
  <c r="J74" i="2"/>
  <c r="K74" i="2" s="1"/>
  <c r="C67" i="2"/>
  <c r="I67" i="2"/>
  <c r="J67" i="2"/>
  <c r="K67" i="2" s="1"/>
  <c r="L67" i="2"/>
  <c r="C68" i="2"/>
  <c r="I68" i="2"/>
  <c r="L68" i="2"/>
  <c r="J68" i="2"/>
  <c r="K68" i="2" s="1"/>
  <c r="I66" i="2"/>
  <c r="J66" i="2"/>
  <c r="K66" i="2" s="1"/>
  <c r="L66" i="2"/>
  <c r="C66" i="2"/>
  <c r="I73" i="2"/>
  <c r="C73" i="2"/>
  <c r="J73" i="2"/>
  <c r="K73" i="2" s="1"/>
  <c r="L73" i="2"/>
  <c r="C70" i="2"/>
  <c r="L70" i="2"/>
  <c r="I70" i="2"/>
  <c r="J70" i="2"/>
  <c r="K70" i="2" s="1"/>
  <c r="I63" i="2"/>
  <c r="C63" i="2"/>
  <c r="J63" i="2"/>
  <c r="K63" i="2" s="1"/>
  <c r="L63" i="2"/>
  <c r="L65" i="2"/>
  <c r="I65" i="2"/>
  <c r="C65" i="2"/>
  <c r="J65" i="2"/>
  <c r="K65" i="2" s="1"/>
  <c r="L71" i="2"/>
  <c r="C71" i="2"/>
  <c r="I71" i="2"/>
  <c r="J71" i="2"/>
  <c r="C69" i="2"/>
  <c r="I69" i="2"/>
  <c r="J69" i="2"/>
  <c r="K69" i="2" s="1"/>
  <c r="L69" i="2"/>
  <c r="L64" i="2"/>
  <c r="I64" i="2"/>
  <c r="J64" i="2"/>
  <c r="K64" i="2" s="1"/>
  <c r="C64" i="2"/>
  <c r="I72" i="2"/>
  <c r="J72" i="2"/>
  <c r="K72" i="2" s="1"/>
  <c r="L72" i="2"/>
  <c r="C72" i="2"/>
  <c r="I60" i="2"/>
  <c r="J60" i="2"/>
  <c r="K60" i="2" s="1"/>
  <c r="L60" i="2"/>
  <c r="C60" i="2"/>
  <c r="C62" i="2"/>
  <c r="I62" i="2"/>
  <c r="J62" i="2"/>
  <c r="K62" i="2" s="1"/>
  <c r="L62" i="2"/>
  <c r="I61" i="2"/>
  <c r="J61" i="2"/>
  <c r="K61" i="2" s="1"/>
  <c r="L61" i="2"/>
  <c r="C61" i="2"/>
  <c r="I57" i="2"/>
  <c r="C57" i="2"/>
  <c r="J57" i="2"/>
  <c r="L57" i="2"/>
  <c r="I55" i="2"/>
  <c r="J55" i="2"/>
  <c r="K55" i="2" s="1"/>
  <c r="L55" i="2"/>
  <c r="C55" i="2"/>
  <c r="I56" i="2"/>
  <c r="J56" i="2"/>
  <c r="K56" i="2" s="1"/>
  <c r="L56" i="2"/>
  <c r="C56" i="2"/>
  <c r="C52" i="2"/>
  <c r="I52" i="2"/>
  <c r="J52" i="2"/>
  <c r="K52" i="2" s="1"/>
  <c r="L52" i="2"/>
  <c r="L59" i="2"/>
  <c r="C59" i="2"/>
  <c r="I59" i="2"/>
  <c r="J59" i="2"/>
  <c r="K59" i="2" s="1"/>
  <c r="L58" i="2"/>
  <c r="C58" i="2"/>
  <c r="I58" i="2"/>
  <c r="J58" i="2"/>
  <c r="K58" i="2" s="1"/>
  <c r="C51" i="2"/>
  <c r="I51" i="2"/>
  <c r="J51" i="2"/>
  <c r="K51" i="2" s="1"/>
  <c r="L51" i="2"/>
  <c r="L53" i="2"/>
  <c r="C53" i="2"/>
  <c r="I53" i="2"/>
  <c r="J53" i="2"/>
  <c r="K53" i="2" s="1"/>
  <c r="I54" i="2"/>
  <c r="J54" i="2"/>
  <c r="K54" i="2" s="1"/>
  <c r="L54" i="2"/>
  <c r="C54" i="2"/>
  <c r="I42" i="2"/>
  <c r="C42" i="2"/>
  <c r="J42" i="2"/>
  <c r="K42" i="2" s="1"/>
  <c r="L42" i="2"/>
  <c r="I39" i="2"/>
  <c r="J39" i="2"/>
  <c r="K39" i="2" s="1"/>
  <c r="L39" i="2"/>
  <c r="C39" i="2"/>
  <c r="C50" i="2"/>
  <c r="I50" i="2"/>
  <c r="J50" i="2"/>
  <c r="K50" i="2" s="1"/>
  <c r="L50" i="2"/>
  <c r="I40" i="2"/>
  <c r="J40" i="2"/>
  <c r="K40" i="2" s="1"/>
  <c r="L40" i="2"/>
  <c r="C40" i="2"/>
  <c r="C46" i="2"/>
  <c r="I46" i="2"/>
  <c r="L46" i="2"/>
  <c r="J46" i="2"/>
  <c r="I49" i="2"/>
  <c r="C49" i="2"/>
  <c r="J49" i="2"/>
  <c r="K49" i="2" s="1"/>
  <c r="L49" i="2"/>
  <c r="C45" i="2"/>
  <c r="I45" i="2"/>
  <c r="J45" i="2"/>
  <c r="K45" i="2" s="1"/>
  <c r="L45" i="2"/>
  <c r="I48" i="2"/>
  <c r="J48" i="2"/>
  <c r="L48" i="2"/>
  <c r="C48" i="2"/>
  <c r="C43" i="2"/>
  <c r="I43" i="2"/>
  <c r="J43" i="2"/>
  <c r="K43" i="2" s="1"/>
  <c r="L43" i="2"/>
  <c r="C44" i="2"/>
  <c r="I44" i="2"/>
  <c r="J44" i="2"/>
  <c r="K44" i="2" s="1"/>
  <c r="L44" i="2"/>
  <c r="L41" i="2"/>
  <c r="I41" i="2"/>
  <c r="C41" i="2"/>
  <c r="J41" i="2"/>
  <c r="K41" i="2" s="1"/>
  <c r="L47" i="2"/>
  <c r="C47" i="2"/>
  <c r="I47" i="2"/>
  <c r="J47" i="2"/>
  <c r="K47" i="2" s="1"/>
  <c r="C36" i="2"/>
  <c r="I36" i="2"/>
  <c r="L36" i="2"/>
  <c r="J36" i="2"/>
  <c r="K36" i="2" s="1"/>
  <c r="C37" i="2"/>
  <c r="J37" i="2"/>
  <c r="K37" i="2" s="1"/>
  <c r="L37" i="2"/>
  <c r="I37" i="2"/>
  <c r="L33" i="2"/>
  <c r="I33" i="2"/>
  <c r="C33" i="2"/>
  <c r="J33" i="2"/>
  <c r="K33" i="2" s="1"/>
  <c r="C32" i="2"/>
  <c r="I32" i="2"/>
  <c r="J32" i="2"/>
  <c r="K32" i="2" s="1"/>
  <c r="L32" i="2"/>
  <c r="C38" i="2"/>
  <c r="I38" i="2"/>
  <c r="J38" i="2"/>
  <c r="K38" i="2" s="1"/>
  <c r="L38" i="2"/>
  <c r="L27" i="2"/>
  <c r="C27" i="2"/>
  <c r="I27" i="2"/>
  <c r="J27" i="2"/>
  <c r="K27" i="2" s="1"/>
  <c r="I34" i="2"/>
  <c r="L34" i="2"/>
  <c r="J34" i="2"/>
  <c r="K34" i="2" s="1"/>
  <c r="C34" i="2"/>
  <c r="J31" i="2"/>
  <c r="K31" i="2" s="1"/>
  <c r="L31" i="2"/>
  <c r="C31" i="2"/>
  <c r="I31" i="2"/>
  <c r="I30" i="2"/>
  <c r="L30" i="2"/>
  <c r="C30" i="2"/>
  <c r="J30" i="2"/>
  <c r="K30" i="2" s="1"/>
  <c r="I28" i="2"/>
  <c r="J28" i="2"/>
  <c r="K28" i="2" s="1"/>
  <c r="C28" i="2"/>
  <c r="L28" i="2"/>
  <c r="C35" i="2"/>
  <c r="I35" i="2"/>
  <c r="J35" i="2"/>
  <c r="K35" i="2" s="1"/>
  <c r="L35" i="2"/>
  <c r="I29" i="2"/>
  <c r="J29" i="2"/>
  <c r="K29" i="2" s="1"/>
  <c r="L29" i="2"/>
  <c r="C29" i="2"/>
  <c r="C3" i="2"/>
  <c r="B19" i="4" a="1"/>
  <c r="B19" i="4" s="1"/>
  <c r="M19" i="4" a="1"/>
  <c r="M19" i="4" s="1"/>
  <c r="I20" i="4" a="1"/>
  <c r="I20" i="4" s="1"/>
  <c r="E21" i="4" a="1"/>
  <c r="E21" i="4" s="1"/>
  <c r="L22" i="4" a="1"/>
  <c r="L22" i="4" s="1"/>
  <c r="H23" i="4" a="1"/>
  <c r="H23" i="4" s="1"/>
  <c r="D24" i="4" a="1"/>
  <c r="D24" i="4" s="1"/>
  <c r="O24" i="4" a="1"/>
  <c r="O24" i="4" s="1"/>
  <c r="K25" i="4" a="1"/>
  <c r="K25" i="4" s="1"/>
  <c r="G26" i="4" a="1"/>
  <c r="G26" i="4" s="1"/>
  <c r="N27" i="4" a="1"/>
  <c r="N27" i="4" s="1"/>
  <c r="J28" i="4" a="1"/>
  <c r="J28" i="4" s="1"/>
  <c r="H29" i="4" a="1"/>
  <c r="H29" i="4" s="1"/>
  <c r="G18" i="4" a="1"/>
  <c r="G18" i="4" s="1"/>
  <c r="C4" i="4" a="1"/>
  <c r="C4" i="4" s="1"/>
  <c r="E5" i="4" a="1"/>
  <c r="E5" i="4" s="1"/>
  <c r="M5" i="4" a="1"/>
  <c r="M5" i="4" s="1"/>
  <c r="O6" i="4" a="1"/>
  <c r="O6" i="4" s="1"/>
  <c r="I7" i="4" a="1"/>
  <c r="I7" i="4" s="1"/>
  <c r="K8" i="4" a="1"/>
  <c r="K8" i="4" s="1"/>
  <c r="E9" i="4" a="1"/>
  <c r="E9" i="4" s="1"/>
  <c r="G10" i="4" a="1"/>
  <c r="G10" i="4" s="1"/>
  <c r="O10" i="4" a="1"/>
  <c r="O10" i="4" s="1"/>
  <c r="C12" i="4" a="1"/>
  <c r="C12" i="4" s="1"/>
  <c r="L12" i="4" a="1"/>
  <c r="L12" i="4" s="1"/>
  <c r="C14" i="4" a="1"/>
  <c r="C14" i="4" s="1"/>
  <c r="M14" i="4" a="1"/>
  <c r="M14" i="4" s="1"/>
  <c r="J3" i="4" a="1"/>
  <c r="J3" i="4" s="1"/>
  <c r="L7" i="4" a="1"/>
  <c r="L7" i="4" s="1"/>
  <c r="D11" i="4" a="1"/>
  <c r="D11" i="4" s="1"/>
  <c r="D28" i="4" a="1"/>
  <c r="D28" i="4" s="1"/>
  <c r="F8" i="4" a="1"/>
  <c r="F8" i="4" s="1"/>
  <c r="C23" i="4" a="1"/>
  <c r="C23" i="4" s="1"/>
  <c r="N29" i="4" a="1"/>
  <c r="N29" i="4" s="1"/>
  <c r="I9" i="4" a="1"/>
  <c r="I9" i="4" s="1"/>
  <c r="C19" i="4" a="1"/>
  <c r="C19" i="4" s="1"/>
  <c r="J20" i="4" a="1"/>
  <c r="J20" i="4" s="1"/>
  <c r="F21" i="4" a="1"/>
  <c r="F21" i="4" s="1"/>
  <c r="B22" i="4" a="1"/>
  <c r="B22" i="4" s="1"/>
  <c r="M22" i="4" a="1"/>
  <c r="M22" i="4" s="1"/>
  <c r="I23" i="4" a="1"/>
  <c r="I23" i="4" s="1"/>
  <c r="E24" i="4" a="1"/>
  <c r="E24" i="4" s="1"/>
  <c r="L25" i="4" a="1"/>
  <c r="L25" i="4" s="1"/>
  <c r="H26" i="4" a="1"/>
  <c r="H26" i="4" s="1"/>
  <c r="D27" i="4" a="1"/>
  <c r="D27" i="4" s="1"/>
  <c r="O27" i="4" a="1"/>
  <c r="O27" i="4" s="1"/>
  <c r="K28" i="4" a="1"/>
  <c r="K28" i="4" s="1"/>
  <c r="I29" i="4" a="1"/>
  <c r="I29" i="4" s="1"/>
  <c r="H18" i="4" a="1"/>
  <c r="H18" i="4" s="1"/>
  <c r="D4" i="4" a="1"/>
  <c r="D4" i="4" s="1"/>
  <c r="L4" i="4" a="1"/>
  <c r="L4" i="4" s="1"/>
  <c r="N5" i="4" a="1"/>
  <c r="N5" i="4" s="1"/>
  <c r="H6" i="4" a="1"/>
  <c r="H6" i="4" s="1"/>
  <c r="J7" i="4" a="1"/>
  <c r="J7" i="4" s="1"/>
  <c r="D8" i="4" a="1"/>
  <c r="D8" i="4" s="1"/>
  <c r="F9" i="4" a="1"/>
  <c r="F9" i="4" s="1"/>
  <c r="N9" i="4" a="1"/>
  <c r="N9" i="4" s="1"/>
  <c r="B11" i="4" a="1"/>
  <c r="B11" i="4" s="1"/>
  <c r="J11" i="4" a="1"/>
  <c r="J11" i="4" s="1"/>
  <c r="M12" i="4" a="1"/>
  <c r="M12" i="4" s="1"/>
  <c r="G13" i="4" a="1"/>
  <c r="G13" i="4" s="1"/>
  <c r="N14" i="4" a="1"/>
  <c r="N14" i="4" s="1"/>
  <c r="K3" i="4" a="1"/>
  <c r="K3" i="4" s="1"/>
  <c r="F4" i="4" a="1"/>
  <c r="F4" i="4" s="1"/>
  <c r="N8" i="4" a="1"/>
  <c r="N8" i="4" s="1"/>
  <c r="F12" i="4" a="1"/>
  <c r="F12" i="4" s="1"/>
  <c r="O25" i="4" a="1"/>
  <c r="O25" i="4" s="1"/>
  <c r="O8" i="4" a="1"/>
  <c r="O8" i="4" s="1"/>
  <c r="N3" i="4" a="1"/>
  <c r="N3" i="4" s="1"/>
  <c r="G22" i="4" a="1"/>
  <c r="G22" i="4" s="1"/>
  <c r="L18" i="4" a="1"/>
  <c r="L18" i="4" s="1"/>
  <c r="E11" i="4" a="1"/>
  <c r="E11" i="4" s="1"/>
  <c r="D19" i="4" a="1"/>
  <c r="D19" i="4" s="1"/>
  <c r="N19" i="4" a="1"/>
  <c r="N19" i="4" s="1"/>
  <c r="K20" i="4" a="1"/>
  <c r="K20" i="4" s="1"/>
  <c r="G21" i="4" a="1"/>
  <c r="G21" i="4" s="1"/>
  <c r="C22" i="4" a="1"/>
  <c r="C22" i="4" s="1"/>
  <c r="J23" i="4" a="1"/>
  <c r="J23" i="4" s="1"/>
  <c r="F24" i="4" a="1"/>
  <c r="F24" i="4" s="1"/>
  <c r="B25" i="4" a="1"/>
  <c r="B25" i="4" s="1"/>
  <c r="M25" i="4" a="1"/>
  <c r="M25" i="4" s="1"/>
  <c r="I26" i="4" a="1"/>
  <c r="I26" i="4" s="1"/>
  <c r="E27" i="4" a="1"/>
  <c r="E27" i="4" s="1"/>
  <c r="L28" i="4" a="1"/>
  <c r="L28" i="4" s="1"/>
  <c r="J29" i="4" a="1"/>
  <c r="J29" i="4" s="1"/>
  <c r="E4" i="4" a="1"/>
  <c r="E4" i="4" s="1"/>
  <c r="F5" i="4" a="1"/>
  <c r="F5" i="4" s="1"/>
  <c r="O5" i="4" a="1"/>
  <c r="O5" i="4" s="1"/>
  <c r="B7" i="4" a="1"/>
  <c r="B7" i="4" s="1"/>
  <c r="K7" i="4" a="1"/>
  <c r="K7" i="4" s="1"/>
  <c r="L8" i="4" a="1"/>
  <c r="L8" i="4" s="1"/>
  <c r="G9" i="4" a="1"/>
  <c r="G9" i="4" s="1"/>
  <c r="H10" i="4" a="1"/>
  <c r="H10" i="4" s="1"/>
  <c r="C11" i="4" a="1"/>
  <c r="C11" i="4" s="1"/>
  <c r="D12" i="4" a="1"/>
  <c r="D12" i="4" s="1"/>
  <c r="H13" i="4" a="1"/>
  <c r="H13" i="4" s="1"/>
  <c r="D14" i="4" a="1"/>
  <c r="D14" i="4" s="1"/>
  <c r="O14" i="4" a="1"/>
  <c r="O14" i="4" s="1"/>
  <c r="L3" i="4" a="1"/>
  <c r="L3" i="4" s="1"/>
  <c r="D7" i="4" a="1"/>
  <c r="D7" i="4" s="1"/>
  <c r="H9" i="4" a="1"/>
  <c r="H9" i="4" s="1"/>
  <c r="B23" i="4" a="1"/>
  <c r="B23" i="4" s="1"/>
  <c r="K18" i="4" a="1"/>
  <c r="K18" i="4" s="1"/>
  <c r="G12" i="4" a="1"/>
  <c r="G12" i="4" s="1"/>
  <c r="B29" i="4" a="1"/>
  <c r="B29" i="4" s="1"/>
  <c r="M11" i="4" a="1"/>
  <c r="M11" i="4" s="1"/>
  <c r="E19" i="4" a="1"/>
  <c r="E19" i="4" s="1"/>
  <c r="O19" i="4" a="1"/>
  <c r="O19" i="4" s="1"/>
  <c r="H21" i="4" a="1"/>
  <c r="H21" i="4" s="1"/>
  <c r="D22" i="4" a="1"/>
  <c r="D22" i="4" s="1"/>
  <c r="N22" i="4" a="1"/>
  <c r="N22" i="4" s="1"/>
  <c r="K23" i="4" a="1"/>
  <c r="K23" i="4" s="1"/>
  <c r="G24" i="4" a="1"/>
  <c r="G24" i="4" s="1"/>
  <c r="C25" i="4" a="1"/>
  <c r="C25" i="4" s="1"/>
  <c r="J26" i="4" a="1"/>
  <c r="J26" i="4" s="1"/>
  <c r="F27" i="4" a="1"/>
  <c r="F27" i="4" s="1"/>
  <c r="B28" i="4" a="1"/>
  <c r="B28" i="4" s="1"/>
  <c r="M28" i="4" a="1"/>
  <c r="M28" i="4" s="1"/>
  <c r="K29" i="4" a="1"/>
  <c r="K29" i="4" s="1"/>
  <c r="I18" i="4" a="1"/>
  <c r="I18" i="4" s="1"/>
  <c r="M4" i="4" a="1"/>
  <c r="M4" i="4" s="1"/>
  <c r="G5" i="4" a="1"/>
  <c r="G5" i="4" s="1"/>
  <c r="I6" i="4" a="1"/>
  <c r="I6" i="4" s="1"/>
  <c r="C7" i="4" a="1"/>
  <c r="C7" i="4" s="1"/>
  <c r="E8" i="4" a="1"/>
  <c r="E8" i="4" s="1"/>
  <c r="M8" i="4" a="1"/>
  <c r="M8" i="4" s="1"/>
  <c r="O9" i="4" a="1"/>
  <c r="O9" i="4" s="1"/>
  <c r="I10" i="4" a="1"/>
  <c r="I10" i="4" s="1"/>
  <c r="K11" i="4" a="1"/>
  <c r="K11" i="4" s="1"/>
  <c r="E12" i="4" a="1"/>
  <c r="E12" i="4" s="1"/>
  <c r="N12" i="4" a="1"/>
  <c r="N12" i="4" s="1"/>
  <c r="I13" i="4" a="1"/>
  <c r="I13" i="4" s="1"/>
  <c r="E14" i="4" a="1"/>
  <c r="E14" i="4" s="1"/>
  <c r="M3" i="4" a="1"/>
  <c r="M3" i="4" s="1"/>
  <c r="H5" i="4" a="1"/>
  <c r="H5" i="4" s="1"/>
  <c r="J13" i="4" a="1"/>
  <c r="J13" i="4" s="1"/>
  <c r="M20" i="4" a="1"/>
  <c r="M20" i="4" s="1"/>
  <c r="O28" i="4" a="1"/>
  <c r="O28" i="4" s="1"/>
  <c r="B10" i="4" a="1"/>
  <c r="B10" i="4" s="1"/>
  <c r="C5" i="12" s="1"/>
  <c r="F25" i="4" a="1"/>
  <c r="F25" i="4" s="1"/>
  <c r="O4" i="4" a="1"/>
  <c r="O4" i="4" s="1"/>
  <c r="B13" i="4" a="1"/>
  <c r="B13" i="4" s="1"/>
  <c r="F19" i="4" a="1"/>
  <c r="F19" i="4" s="1"/>
  <c r="B20" i="4" a="1"/>
  <c r="B20" i="4" s="1"/>
  <c r="L20" i="4" a="1"/>
  <c r="L20" i="4" s="1"/>
  <c r="I21" i="4" a="1"/>
  <c r="I21" i="4" s="1"/>
  <c r="E22" i="4" a="1"/>
  <c r="E22" i="4" s="1"/>
  <c r="O22" i="4" a="1"/>
  <c r="O22" i="4" s="1"/>
  <c r="H24" i="4" a="1"/>
  <c r="H24" i="4" s="1"/>
  <c r="D25" i="4" a="1"/>
  <c r="D25" i="4" s="1"/>
  <c r="N25" i="4" a="1"/>
  <c r="N25" i="4" s="1"/>
  <c r="K26" i="4" a="1"/>
  <c r="K26" i="4" s="1"/>
  <c r="G27" i="4" a="1"/>
  <c r="G27" i="4" s="1"/>
  <c r="C28" i="4" a="1"/>
  <c r="C28" i="4" s="1"/>
  <c r="N28" i="4" a="1"/>
  <c r="N28" i="4" s="1"/>
  <c r="L29" i="4" a="1"/>
  <c r="L29" i="4" s="1"/>
  <c r="J18" i="4" a="1"/>
  <c r="J18" i="4" s="1"/>
  <c r="B6" i="4" a="1"/>
  <c r="B6" i="4" s="1"/>
  <c r="J10" i="4" a="1"/>
  <c r="J10" i="4" s="1"/>
  <c r="K5" i="12" s="1"/>
  <c r="H27" i="4" a="1"/>
  <c r="H27" i="4" s="1"/>
  <c r="K10" i="4" a="1"/>
  <c r="K10" i="4" s="1"/>
  <c r="B26" i="4" a="1"/>
  <c r="B26" i="4" s="1"/>
  <c r="G4" i="4" a="1"/>
  <c r="G4" i="4" s="1"/>
  <c r="H14" i="4" a="1"/>
  <c r="H14" i="4" s="1"/>
  <c r="G19" i="4" a="1"/>
  <c r="G19" i="4" s="1"/>
  <c r="D20" i="4" a="1"/>
  <c r="D20" i="4" s="1"/>
  <c r="H19" i="4" a="1"/>
  <c r="H19" i="4" s="1"/>
  <c r="E20" i="4" a="1"/>
  <c r="E20" i="4" s="1"/>
  <c r="O20" i="4" a="1"/>
  <c r="O20" i="4" s="1"/>
  <c r="K21" i="4" a="1"/>
  <c r="K21" i="4" s="1"/>
  <c r="D23" i="4" a="1"/>
  <c r="D23" i="4" s="1"/>
  <c r="N23" i="4" a="1"/>
  <c r="N23" i="4" s="1"/>
  <c r="J24" i="4" a="1"/>
  <c r="J24" i="4" s="1"/>
  <c r="G25" i="4" a="1"/>
  <c r="G25" i="4" s="1"/>
  <c r="C26" i="4" a="1"/>
  <c r="C26" i="4" s="1"/>
  <c r="M26" i="4" a="1"/>
  <c r="M26" i="4" s="1"/>
  <c r="F28" i="4" a="1"/>
  <c r="F28" i="4" s="1"/>
  <c r="C29" i="4" a="1"/>
  <c r="C29" i="4" s="1"/>
  <c r="O29" i="4" a="1"/>
  <c r="O29" i="4" s="1"/>
  <c r="M18" i="4" a="1"/>
  <c r="M18" i="4" s="1"/>
  <c r="B5" i="4" a="1"/>
  <c r="B5" i="4" s="1"/>
  <c r="J5" i="4" a="1"/>
  <c r="J5" i="4" s="1"/>
  <c r="L6" i="4" a="1"/>
  <c r="L6" i="4" s="1"/>
  <c r="F7" i="4" a="1"/>
  <c r="F7" i="4" s="1"/>
  <c r="H8" i="4" a="1"/>
  <c r="H8" i="4" s="1"/>
  <c r="B9" i="4" a="1"/>
  <c r="B9" i="4" s="1"/>
  <c r="D10" i="4" a="1"/>
  <c r="D10" i="4" s="1"/>
  <c r="L10" i="4" a="1"/>
  <c r="L10" i="4" s="1"/>
  <c r="N11" i="4" a="1"/>
  <c r="N11" i="4" s="1"/>
  <c r="H12" i="4" a="1"/>
  <c r="H12" i="4" s="1"/>
  <c r="C13" i="4" a="1"/>
  <c r="C13" i="4" s="1"/>
  <c r="L13" i="4" a="1"/>
  <c r="L13" i="4" s="1"/>
  <c r="I14" i="4" a="1"/>
  <c r="I14" i="4" s="1"/>
  <c r="F3" i="4" a="1"/>
  <c r="F3" i="4" s="1"/>
  <c r="B18" i="4" a="1"/>
  <c r="B18" i="4" s="1"/>
  <c r="L23" i="4" a="1"/>
  <c r="L23" i="4" s="1"/>
  <c r="M29" i="4" a="1"/>
  <c r="M29" i="4" s="1"/>
  <c r="L11" i="4" a="1"/>
  <c r="L11" i="4" s="1"/>
  <c r="I27" i="4" a="1"/>
  <c r="I27" i="4" s="1"/>
  <c r="C6" i="4" a="1"/>
  <c r="C6" i="4" s="1"/>
  <c r="I19" i="4" a="1"/>
  <c r="I19" i="4" s="1"/>
  <c r="B21" i="4" a="1"/>
  <c r="B21" i="4" s="1"/>
  <c r="L21" i="4" a="1"/>
  <c r="L21" i="4" s="1"/>
  <c r="H22" i="4" a="1"/>
  <c r="H22" i="4" s="1"/>
  <c r="E23" i="4" a="1"/>
  <c r="E23" i="4" s="1"/>
  <c r="O23" i="4" a="1"/>
  <c r="O23" i="4" s="1"/>
  <c r="K24" i="4" a="1"/>
  <c r="K24" i="4" s="1"/>
  <c r="D26" i="4" a="1"/>
  <c r="D26" i="4" s="1"/>
  <c r="N26" i="4" a="1"/>
  <c r="N26" i="4" s="1"/>
  <c r="J27" i="4" a="1"/>
  <c r="J27" i="4" s="1"/>
  <c r="G28" i="4" a="1"/>
  <c r="G28" i="4" s="1"/>
  <c r="D29" i="4" a="1"/>
  <c r="D29" i="4" s="1"/>
  <c r="C18" i="4" a="1"/>
  <c r="C18" i="4" s="1"/>
  <c r="N18" i="4" a="1"/>
  <c r="N18" i="4" s="1"/>
  <c r="H4" i="4" a="1"/>
  <c r="H4" i="4" s="1"/>
  <c r="C5" i="4" a="1"/>
  <c r="C5" i="4" s="1"/>
  <c r="D6" i="4" a="1"/>
  <c r="D6" i="4" s="1"/>
  <c r="M6" i="4" a="1"/>
  <c r="M6" i="4" s="1"/>
  <c r="N7" i="4" a="1"/>
  <c r="N7" i="4" s="1"/>
  <c r="I8" i="4" a="1"/>
  <c r="I8" i="4" s="1"/>
  <c r="J9" i="4" a="1"/>
  <c r="J9" i="4" s="1"/>
  <c r="E10" i="4" a="1"/>
  <c r="E10" i="4" s="1"/>
  <c r="F11" i="4" a="1"/>
  <c r="F11" i="4" s="1"/>
  <c r="O11" i="4" a="1"/>
  <c r="O11" i="4" s="1"/>
  <c r="D13" i="4" a="1"/>
  <c r="D13" i="4" s="1"/>
  <c r="M13" i="4" a="1"/>
  <c r="M13" i="4" s="1"/>
  <c r="G3" i="4" a="1"/>
  <c r="G3" i="4" s="1"/>
  <c r="B3" i="4" a="1"/>
  <c r="B3" i="4" s="1"/>
  <c r="K14" i="4" a="1"/>
  <c r="K14" i="4" s="1"/>
  <c r="I24" i="4" a="1"/>
  <c r="I24" i="4" s="1"/>
  <c r="I5" i="4" a="1"/>
  <c r="I5" i="4" s="1"/>
  <c r="K13" i="4" a="1"/>
  <c r="K13" i="4" s="1"/>
  <c r="J21" i="4" a="1"/>
  <c r="J21" i="4" s="1"/>
  <c r="E28" i="4" a="1"/>
  <c r="E28" i="4" s="1"/>
  <c r="M7" i="4" a="1"/>
  <c r="M7" i="4" s="1"/>
  <c r="O3" i="4" a="1"/>
  <c r="O3" i="4" s="1"/>
  <c r="J19" i="4" a="1"/>
  <c r="J19" i="4" s="1"/>
  <c r="F20" i="4" a="1"/>
  <c r="F20" i="4" s="1"/>
  <c r="C21" i="4" a="1"/>
  <c r="C21" i="4" s="1"/>
  <c r="M21" i="4" a="1"/>
  <c r="M21" i="4" s="1"/>
  <c r="I22" i="4" a="1"/>
  <c r="I22" i="4" s="1"/>
  <c r="B24" i="4" a="1"/>
  <c r="B24" i="4" s="1"/>
  <c r="L24" i="4" a="1"/>
  <c r="L24" i="4" s="1"/>
  <c r="H25" i="4" a="1"/>
  <c r="H25" i="4" s="1"/>
  <c r="E26" i="4" a="1"/>
  <c r="E26" i="4" s="1"/>
  <c r="O26" i="4" a="1"/>
  <c r="O26" i="4" s="1"/>
  <c r="K27" i="4" a="1"/>
  <c r="K27" i="4" s="1"/>
  <c r="E29" i="4" a="1"/>
  <c r="E29" i="4" s="1"/>
  <c r="D18" i="4" a="1"/>
  <c r="D18" i="4" s="1"/>
  <c r="I4" i="4" a="1"/>
  <c r="I4" i="4" s="1"/>
  <c r="K5" i="4" a="1"/>
  <c r="K5" i="4" s="1"/>
  <c r="E6" i="4" a="1"/>
  <c r="E6" i="4" s="1"/>
  <c r="G7" i="4" a="1"/>
  <c r="G7" i="4" s="1"/>
  <c r="O7" i="4" a="1"/>
  <c r="O7" i="4" s="1"/>
  <c r="C9" i="4" a="1"/>
  <c r="C9" i="4" s="1"/>
  <c r="K9" i="4" a="1"/>
  <c r="K9" i="4" s="1"/>
  <c r="M10" i="4" a="1"/>
  <c r="M10" i="4" s="1"/>
  <c r="G11" i="4" a="1"/>
  <c r="G11" i="4" s="1"/>
  <c r="I12" i="4" a="1"/>
  <c r="I12" i="4" s="1"/>
  <c r="E13" i="4" a="1"/>
  <c r="E13" i="4" s="1"/>
  <c r="N13" i="4" a="1"/>
  <c r="N13" i="4" s="1"/>
  <c r="J14" i="4" a="1"/>
  <c r="J14" i="4" s="1"/>
  <c r="O13" i="4" a="1"/>
  <c r="O13" i="4" s="1"/>
  <c r="C3" i="4" a="1"/>
  <c r="C3" i="4" s="1"/>
  <c r="F22" i="4" a="1"/>
  <c r="F22" i="4" s="1"/>
  <c r="N4" i="4" a="1"/>
  <c r="N4" i="4" s="1"/>
  <c r="O12" i="4" a="1"/>
  <c r="O12" i="4" s="1"/>
  <c r="N20" i="4" a="1"/>
  <c r="N20" i="4" s="1"/>
  <c r="C10" i="4" a="1"/>
  <c r="C10" i="4" s="1"/>
  <c r="K19" i="4" a="1"/>
  <c r="K19" i="4" s="1"/>
  <c r="G20" i="4" a="1"/>
  <c r="G20" i="4" s="1"/>
  <c r="N21" i="4" a="1"/>
  <c r="N21" i="4" s="1"/>
  <c r="J22" i="4" a="1"/>
  <c r="J22" i="4" s="1"/>
  <c r="F23" i="4" a="1"/>
  <c r="F23" i="4" s="1"/>
  <c r="C24" i="4" a="1"/>
  <c r="C24" i="4" s="1"/>
  <c r="M24" i="4" a="1"/>
  <c r="M24" i="4" s="1"/>
  <c r="I25" i="4" a="1"/>
  <c r="I25" i="4" s="1"/>
  <c r="B27" i="4" a="1"/>
  <c r="B27" i="4" s="1"/>
  <c r="L27" i="4" a="1"/>
  <c r="L27" i="4" s="1"/>
  <c r="H28" i="4" a="1"/>
  <c r="H28" i="4" s="1"/>
  <c r="F29" i="4" a="1"/>
  <c r="F29" i="4" s="1"/>
  <c r="E18" i="4" a="1"/>
  <c r="E18" i="4" s="1"/>
  <c r="O18" i="4" a="1"/>
  <c r="O18" i="4" s="1"/>
  <c r="J4" i="4" a="1"/>
  <c r="J4" i="4" s="1"/>
  <c r="D5" i="4" a="1"/>
  <c r="D5" i="4" s="1"/>
  <c r="F6" i="4" a="1"/>
  <c r="F6" i="4" s="1"/>
  <c r="N6" i="4" a="1"/>
  <c r="N6" i="4" s="1"/>
  <c r="B8" i="4" a="1"/>
  <c r="B8" i="4" s="1"/>
  <c r="J8" i="4" a="1"/>
  <c r="J8" i="4" s="1"/>
  <c r="L9" i="4" a="1"/>
  <c r="L9" i="4" s="1"/>
  <c r="F10" i="4" a="1"/>
  <c r="F10" i="4" s="1"/>
  <c r="G5" i="12" s="1"/>
  <c r="H11" i="4" a="1"/>
  <c r="H11" i="4" s="1"/>
  <c r="B12" i="4" a="1"/>
  <c r="B12" i="4" s="1"/>
  <c r="J12" i="4" a="1"/>
  <c r="J12" i="4" s="1"/>
  <c r="H3" i="4" a="1"/>
  <c r="H3" i="4" s="1"/>
  <c r="F14" i="4" a="1"/>
  <c r="F14" i="4" s="1"/>
  <c r="E25" i="4" a="1"/>
  <c r="E25" i="4" s="1"/>
  <c r="E7" i="4" a="1"/>
  <c r="E7" i="4" s="1"/>
  <c r="G14" i="4" a="1"/>
  <c r="G14" i="4" s="1"/>
  <c r="M23" i="4" a="1"/>
  <c r="M23" i="4" s="1"/>
  <c r="G8" i="4" a="1"/>
  <c r="G8" i="4" s="1"/>
  <c r="L19" i="4" a="1"/>
  <c r="L19" i="4" s="1"/>
  <c r="H20" i="4" a="1"/>
  <c r="H20" i="4" s="1"/>
  <c r="D21" i="4" a="1"/>
  <c r="D21" i="4" s="1"/>
  <c r="O21" i="4" a="1"/>
  <c r="O21" i="4" s="1"/>
  <c r="K22" i="4" a="1"/>
  <c r="K22" i="4" s="1"/>
  <c r="G23" i="4" a="1"/>
  <c r="G23" i="4" s="1"/>
  <c r="N24" i="4" a="1"/>
  <c r="N24" i="4" s="1"/>
  <c r="J25" i="4" a="1"/>
  <c r="J25" i="4" s="1"/>
  <c r="F26" i="4" a="1"/>
  <c r="F26" i="4" s="1"/>
  <c r="C27" i="4" a="1"/>
  <c r="C27" i="4" s="1"/>
  <c r="M27" i="4" a="1"/>
  <c r="M27" i="4" s="1"/>
  <c r="I28" i="4" a="1"/>
  <c r="I28" i="4" s="1"/>
  <c r="G29" i="4" a="1"/>
  <c r="G29" i="4" s="1"/>
  <c r="F18" i="4" a="1"/>
  <c r="F18" i="4" s="1"/>
  <c r="B4" i="4" a="1"/>
  <c r="B4" i="4" s="1"/>
  <c r="K4" i="4" a="1"/>
  <c r="K4" i="4" s="1"/>
  <c r="L5" i="4" a="1"/>
  <c r="L5" i="4" s="1"/>
  <c r="G6" i="4" a="1"/>
  <c r="G6" i="4" s="1"/>
  <c r="H7" i="4" a="1"/>
  <c r="H7" i="4" s="1"/>
  <c r="C8" i="4" a="1"/>
  <c r="C8" i="4" s="1"/>
  <c r="D9" i="4" a="1"/>
  <c r="D9" i="4" s="1"/>
  <c r="M9" i="4" a="1"/>
  <c r="M9" i="4" s="1"/>
  <c r="N10" i="4" a="1"/>
  <c r="N10" i="4" s="1"/>
  <c r="O5" i="12" s="1"/>
  <c r="I11" i="4" a="1"/>
  <c r="I11" i="4" s="1"/>
  <c r="K12" i="4" a="1"/>
  <c r="K12" i="4" s="1"/>
  <c r="F13" i="4" a="1"/>
  <c r="F13" i="4" s="1"/>
  <c r="B14" i="4" a="1"/>
  <c r="B14" i="4" s="1"/>
  <c r="L14" i="4" a="1"/>
  <c r="L14" i="4" s="1"/>
  <c r="I3" i="4" a="1"/>
  <c r="I3" i="4" s="1"/>
  <c r="C20" i="4" a="1"/>
  <c r="C20" i="4" s="1"/>
  <c r="J6" i="4" a="1"/>
  <c r="J6" i="4" s="1"/>
  <c r="D3" i="4" a="1"/>
  <c r="D3" i="4" s="1"/>
  <c r="L26" i="4" a="1"/>
  <c r="L26" i="4" s="1"/>
  <c r="K6" i="4" a="1"/>
  <c r="K6" i="4" s="1"/>
  <c r="E3" i="4" a="1"/>
  <c r="E3" i="4" s="1"/>
  <c r="I3" i="2"/>
  <c r="E5" i="12" l="1"/>
  <c r="D5" i="12"/>
  <c r="J5" i="12"/>
  <c r="P5" i="12"/>
  <c r="M5" i="12"/>
  <c r="N5" i="12"/>
  <c r="H5" i="12"/>
  <c r="I5" i="12"/>
  <c r="L5" i="12"/>
  <c r="F5" i="12"/>
  <c r="T4" i="2"/>
  <c r="T10" i="2"/>
  <c r="T9" i="2"/>
  <c r="T14" i="2"/>
  <c r="T12" i="2"/>
  <c r="R7" i="3" a="1"/>
  <c r="R7" i="3" s="1"/>
  <c r="T6" i="2"/>
  <c r="T13" i="2"/>
  <c r="R5" i="3"/>
  <c r="T5" i="2"/>
  <c r="T11" i="2"/>
  <c r="R6" i="3"/>
  <c r="T6" i="3" s="1"/>
  <c r="T7" i="2"/>
  <c r="G6" i="12"/>
  <c r="J6" i="12"/>
  <c r="L6" i="12"/>
  <c r="M6" i="12"/>
  <c r="N6" i="12"/>
  <c r="C6" i="12"/>
  <c r="H6" i="12"/>
  <c r="I6" i="12"/>
  <c r="E6" i="12"/>
  <c r="K6" i="12"/>
  <c r="F6" i="12"/>
  <c r="D6" i="12"/>
  <c r="O6" i="12"/>
  <c r="P6" i="12"/>
  <c r="S10" i="4"/>
  <c r="S9" i="4"/>
  <c r="S7" i="4"/>
  <c r="S14" i="4"/>
  <c r="S6" i="4"/>
  <c r="S5" i="4"/>
  <c r="S11" i="4"/>
  <c r="S3" i="4"/>
  <c r="S12" i="4"/>
  <c r="S8" i="4"/>
  <c r="S13" i="4"/>
  <c r="S4" i="4"/>
  <c r="M4" i="9"/>
  <c r="N5" i="9" s="1"/>
  <c r="S12" i="2"/>
  <c r="T8" i="2"/>
  <c r="R12" i="2"/>
  <c r="R7" i="2"/>
  <c r="S7" i="2"/>
  <c r="R9" i="2"/>
  <c r="S9" i="2"/>
  <c r="T3" i="2"/>
  <c r="K140" i="2"/>
  <c r="K114" i="2"/>
  <c r="R5" i="2" s="1"/>
  <c r="K89" i="2"/>
  <c r="R3" i="2" s="1"/>
  <c r="K48" i="2"/>
  <c r="S6" i="2" s="1"/>
  <c r="K71" i="2"/>
  <c r="R11" i="2" s="1"/>
  <c r="K57" i="2"/>
  <c r="R14" i="2" s="1"/>
  <c r="J5" i="9"/>
  <c r="H5" i="9"/>
  <c r="G5" i="9"/>
  <c r="F5" i="9"/>
  <c r="D5" i="9"/>
  <c r="I5" i="9"/>
  <c r="K5" i="9"/>
  <c r="L5" i="9"/>
  <c r="C5" i="9"/>
  <c r="E5" i="9"/>
  <c r="Q25" i="4"/>
  <c r="P25" i="4"/>
  <c r="Q22" i="4"/>
  <c r="P22" i="4"/>
  <c r="Q3" i="4"/>
  <c r="P3" i="4"/>
  <c r="Q13" i="4"/>
  <c r="P13" i="4"/>
  <c r="Q8" i="4"/>
  <c r="P8" i="4"/>
  <c r="Q9" i="4"/>
  <c r="P9" i="4"/>
  <c r="Q26" i="4"/>
  <c r="P26" i="4"/>
  <c r="Q21" i="4"/>
  <c r="P21" i="4"/>
  <c r="Q7" i="4"/>
  <c r="P7" i="4"/>
  <c r="Q18" i="4"/>
  <c r="P18" i="4"/>
  <c r="Q10" i="4"/>
  <c r="P10" i="4"/>
  <c r="Q28" i="4"/>
  <c r="P28" i="4"/>
  <c r="Q29" i="4"/>
  <c r="P29" i="4"/>
  <c r="Q11" i="4"/>
  <c r="P11" i="4"/>
  <c r="Q24" i="4"/>
  <c r="P24" i="4"/>
  <c r="Q14" i="4"/>
  <c r="P14" i="4"/>
  <c r="Q4" i="4"/>
  <c r="P4" i="4"/>
  <c r="Q12" i="4"/>
  <c r="P12" i="4"/>
  <c r="Q5" i="4"/>
  <c r="P5" i="4"/>
  <c r="Q6" i="4"/>
  <c r="P6" i="4"/>
  <c r="Q23" i="4"/>
  <c r="P23" i="4"/>
  <c r="Q27" i="4"/>
  <c r="P27" i="4"/>
  <c r="Q20" i="4"/>
  <c r="P20" i="4"/>
  <c r="Q19" i="4"/>
  <c r="P19" i="4"/>
  <c r="R3" i="4" l="1"/>
  <c r="S8" i="2"/>
  <c r="R8" i="2"/>
  <c r="S3" i="2"/>
  <c r="S4" i="2"/>
  <c r="R13" i="2"/>
  <c r="P14" i="2" s="1"/>
  <c r="S10" i="2"/>
  <c r="R10" i="2"/>
  <c r="P10" i="2" s="1"/>
  <c r="U6" i="3"/>
  <c r="R4" i="4"/>
  <c r="R6" i="4"/>
  <c r="R10" i="4"/>
  <c r="R7" i="4"/>
  <c r="R9" i="4"/>
  <c r="R12" i="4"/>
  <c r="R8" i="4"/>
  <c r="R14" i="4"/>
  <c r="R13" i="4"/>
  <c r="R5" i="4"/>
  <c r="R11" i="4"/>
  <c r="R4" i="3"/>
  <c r="R8" i="3"/>
  <c r="M5" i="9"/>
  <c r="O4" i="9"/>
  <c r="S14" i="2"/>
  <c r="T7" i="3"/>
  <c r="S7" i="3" s="1"/>
  <c r="S5" i="2"/>
  <c r="S6" i="3"/>
  <c r="S13" i="2"/>
  <c r="T5" i="3"/>
  <c r="S5" i="3" s="1"/>
  <c r="U5" i="3"/>
  <c r="S11" i="2"/>
  <c r="R4" i="2"/>
  <c r="R6" i="2"/>
  <c r="U7" i="3"/>
  <c r="P8" i="2" l="1"/>
  <c r="P9" i="2"/>
  <c r="P7" i="2"/>
  <c r="Q4" i="9"/>
  <c r="O5" i="9"/>
  <c r="P5" i="9"/>
  <c r="P6" i="2"/>
  <c r="P5" i="2"/>
  <c r="P3" i="2"/>
  <c r="P4" i="2"/>
  <c r="T4" i="3"/>
  <c r="S4" i="3" s="1"/>
  <c r="T8" i="3"/>
  <c r="S8" i="3" s="1"/>
  <c r="O12" i="2"/>
  <c r="O5" i="2"/>
  <c r="O13" i="2"/>
  <c r="P12" i="2"/>
  <c r="O7" i="2"/>
  <c r="O6" i="2"/>
  <c r="O8" i="2"/>
  <c r="O14" i="2"/>
  <c r="N14" i="2" s="1"/>
  <c r="O4" i="2"/>
  <c r="O3" i="2"/>
  <c r="O10" i="2"/>
  <c r="N10" i="2" s="1"/>
  <c r="P13" i="2"/>
  <c r="P11" i="2"/>
  <c r="O11" i="2"/>
  <c r="O9" i="2"/>
  <c r="N12" i="2" l="1"/>
  <c r="N5" i="2"/>
  <c r="N4" i="2"/>
  <c r="N6" i="2"/>
  <c r="E8" i="3"/>
  <c r="J8" i="3" s="1"/>
  <c r="N7" i="2"/>
  <c r="N11" i="2"/>
  <c r="N13" i="2"/>
  <c r="N3" i="2"/>
  <c r="N9" i="2"/>
  <c r="N8" i="2"/>
  <c r="E11" i="3"/>
  <c r="K11" i="3" s="1"/>
  <c r="E9" i="3"/>
  <c r="J9" i="3" s="1"/>
  <c r="E10" i="3"/>
  <c r="F10" i="3" s="1"/>
  <c r="E4" i="3"/>
  <c r="K4" i="3" s="1"/>
  <c r="E14" i="3"/>
  <c r="D14" i="3" s="1"/>
  <c r="B14" i="3" s="1"/>
  <c r="S4" i="9"/>
  <c r="Q5" i="9"/>
  <c r="R5" i="9"/>
  <c r="E6" i="3"/>
  <c r="H6" i="3" s="1"/>
  <c r="E5" i="3"/>
  <c r="D5" i="3" s="1"/>
  <c r="B5" i="3" s="1"/>
  <c r="E3" i="3"/>
  <c r="G3" i="3" s="1"/>
  <c r="E15" i="3"/>
  <c r="F15" i="3" s="1"/>
  <c r="E13" i="3"/>
  <c r="H13" i="3" s="1"/>
  <c r="E16" i="3"/>
  <c r="H16" i="3" s="1"/>
  <c r="D41" i="10" l="1"/>
  <c r="D43" i="10"/>
  <c r="G11" i="3"/>
  <c r="H11" i="3"/>
  <c r="F8" i="3"/>
  <c r="F11" i="3"/>
  <c r="J11" i="3"/>
  <c r="D11" i="3"/>
  <c r="B11" i="3" s="1"/>
  <c r="D9" i="3"/>
  <c r="B9" i="3" s="1"/>
  <c r="D8" i="3"/>
  <c r="B8" i="3" s="1"/>
  <c r="K8" i="3"/>
  <c r="H8" i="3"/>
  <c r="K9" i="3"/>
  <c r="G9" i="3"/>
  <c r="H9" i="3"/>
  <c r="F9" i="3"/>
  <c r="G10" i="3"/>
  <c r="K10" i="3"/>
  <c r="S4" i="1"/>
  <c r="S12" i="1"/>
  <c r="S2" i="1"/>
  <c r="S14" i="1"/>
  <c r="S9" i="1"/>
  <c r="S7" i="1"/>
  <c r="S19" i="1"/>
  <c r="S17" i="1"/>
  <c r="D16" i="10"/>
  <c r="D18" i="10"/>
  <c r="G8" i="3"/>
  <c r="J10" i="3"/>
  <c r="H4" i="3"/>
  <c r="H10" i="3"/>
  <c r="D10" i="3"/>
  <c r="B10" i="3" s="1"/>
  <c r="G14" i="3"/>
  <c r="D4" i="3"/>
  <c r="B4" i="3" s="1"/>
  <c r="G4" i="3"/>
  <c r="F4" i="3"/>
  <c r="F14" i="3"/>
  <c r="J6" i="3"/>
  <c r="D6" i="3"/>
  <c r="B6" i="3" s="1"/>
  <c r="K6" i="3"/>
  <c r="J15" i="3"/>
  <c r="J14" i="3"/>
  <c r="G6" i="3"/>
  <c r="K14" i="3"/>
  <c r="D15" i="3"/>
  <c r="B15" i="3" s="1"/>
  <c r="J4" i="3"/>
  <c r="H14" i="3"/>
  <c r="F6" i="3"/>
  <c r="F5" i="3"/>
  <c r="G15" i="3"/>
  <c r="H3" i="3"/>
  <c r="H15" i="3"/>
  <c r="K5" i="3"/>
  <c r="K3" i="3"/>
  <c r="K15" i="3"/>
  <c r="U4" i="9"/>
  <c r="S5" i="9"/>
  <c r="T5" i="9"/>
  <c r="D13" i="3"/>
  <c r="B13" i="3" s="1"/>
  <c r="F13" i="3"/>
  <c r="G13" i="3"/>
  <c r="H5" i="3"/>
  <c r="J5" i="3"/>
  <c r="G5" i="3"/>
  <c r="J13" i="3"/>
  <c r="K13" i="3"/>
  <c r="J3" i="3"/>
  <c r="F3" i="3"/>
  <c r="K16" i="3"/>
  <c r="J16" i="3"/>
  <c r="D16" i="3"/>
  <c r="B16" i="3" s="1"/>
  <c r="F16" i="3"/>
  <c r="D3" i="3"/>
  <c r="B3" i="3" s="1"/>
  <c r="G16" i="3"/>
  <c r="T7" i="1" l="1"/>
  <c r="T17" i="1"/>
  <c r="T2" i="1"/>
  <c r="U2" i="1" s="1"/>
  <c r="B177" i="2"/>
  <c r="J177" i="2" s="1"/>
  <c r="H176" i="2"/>
  <c r="G176" i="2" s="1"/>
  <c r="W4" i="9"/>
  <c r="U5" i="9"/>
  <c r="V5" i="9"/>
  <c r="B175" i="2"/>
  <c r="L175" i="2" s="1"/>
  <c r="H174" i="2"/>
  <c r="G174" i="2" s="1"/>
  <c r="T4" i="1"/>
  <c r="T22" i="1"/>
  <c r="B173" i="2"/>
  <c r="K173" i="2" s="1"/>
  <c r="T12" i="1"/>
  <c r="B176" i="2"/>
  <c r="L176" i="2" s="1"/>
  <c r="B172" i="2"/>
  <c r="C172" i="2" s="1"/>
  <c r="H171" i="2"/>
  <c r="G171" i="2" s="1"/>
  <c r="U7" i="1" l="1"/>
  <c r="B179" i="2"/>
  <c r="J179" i="2" s="1"/>
  <c r="H185" i="2"/>
  <c r="G185" i="2" s="1"/>
  <c r="K177" i="2"/>
  <c r="C177" i="2"/>
  <c r="L177" i="2"/>
  <c r="C175" i="2"/>
  <c r="B171" i="2"/>
  <c r="H177" i="2"/>
  <c r="G177" i="2" s="1"/>
  <c r="H175" i="2"/>
  <c r="G175" i="2" s="1"/>
  <c r="H172" i="2"/>
  <c r="G172" i="2" s="1"/>
  <c r="J175" i="2"/>
  <c r="H196" i="2"/>
  <c r="G196" i="2" s="1"/>
  <c r="B192" i="2"/>
  <c r="K175" i="2"/>
  <c r="H178" i="2"/>
  <c r="G178" i="2" s="1"/>
  <c r="H173" i="2"/>
  <c r="G173" i="2" s="1"/>
  <c r="B191" i="2"/>
  <c r="H195" i="2"/>
  <c r="G195" i="2" s="1"/>
  <c r="B174" i="2"/>
  <c r="C174" i="2" s="1"/>
  <c r="B178" i="2"/>
  <c r="Y4" i="9"/>
  <c r="W5" i="9"/>
  <c r="X5" i="9"/>
  <c r="U4" i="1"/>
  <c r="J173" i="2"/>
  <c r="C173" i="2"/>
  <c r="L173" i="2"/>
  <c r="K176" i="2"/>
  <c r="T24" i="1"/>
  <c r="H186" i="2"/>
  <c r="G186" i="2" s="1"/>
  <c r="B180" i="2"/>
  <c r="T27" i="1"/>
  <c r="H187" i="2"/>
  <c r="G187" i="2" s="1"/>
  <c r="B181" i="2"/>
  <c r="T9" i="1"/>
  <c r="H179" i="2"/>
  <c r="G179" i="2" s="1"/>
  <c r="B185" i="2"/>
  <c r="H189" i="2"/>
  <c r="G189" i="2" s="1"/>
  <c r="B183" i="2"/>
  <c r="L179" i="2"/>
  <c r="K179" i="2"/>
  <c r="T29" i="1"/>
  <c r="H188" i="2"/>
  <c r="G188" i="2" s="1"/>
  <c r="B182" i="2"/>
  <c r="C176" i="2"/>
  <c r="J176" i="2"/>
  <c r="J172" i="2"/>
  <c r="L172" i="2"/>
  <c r="T14" i="1"/>
  <c r="U12" i="1" s="1"/>
  <c r="K172" i="2"/>
  <c r="C179" i="2" l="1"/>
  <c r="B37" i="10"/>
  <c r="B33" i="10"/>
  <c r="B31" i="10"/>
  <c r="B8" i="10"/>
  <c r="B6" i="10"/>
  <c r="B35" i="10"/>
  <c r="B12" i="10"/>
  <c r="B10" i="10"/>
  <c r="D11" i="10" s="1"/>
  <c r="C171" i="2"/>
  <c r="B17" i="10"/>
  <c r="B43" i="10"/>
  <c r="B18" i="10"/>
  <c r="B42" i="10"/>
  <c r="L171" i="2"/>
  <c r="K171" i="2"/>
  <c r="J171" i="2"/>
  <c r="K174" i="2"/>
  <c r="L178" i="2"/>
  <c r="K178" i="2"/>
  <c r="C178" i="2"/>
  <c r="J178" i="2"/>
  <c r="C192" i="2"/>
  <c r="L192" i="2"/>
  <c r="J192" i="2"/>
  <c r="K192" i="2"/>
  <c r="C191" i="2"/>
  <c r="L191" i="2"/>
  <c r="K191" i="2"/>
  <c r="J191" i="2"/>
  <c r="U9" i="1"/>
  <c r="H191" i="2"/>
  <c r="G191" i="2" s="1"/>
  <c r="B195" i="2"/>
  <c r="U17" i="1"/>
  <c r="H197" i="2"/>
  <c r="G197" i="2" s="1"/>
  <c r="B193" i="2"/>
  <c r="J174" i="2"/>
  <c r="L174" i="2"/>
  <c r="AA4" i="9"/>
  <c r="Y5" i="9"/>
  <c r="Z5" i="9"/>
  <c r="B190" i="2"/>
  <c r="H184" i="2"/>
  <c r="G184" i="2" s="1"/>
  <c r="C183" i="2"/>
  <c r="K183" i="2"/>
  <c r="L183" i="2"/>
  <c r="J183" i="2"/>
  <c r="B186" i="2"/>
  <c r="H180" i="2"/>
  <c r="G180" i="2" s="1"/>
  <c r="C182" i="2"/>
  <c r="K182" i="2"/>
  <c r="L182" i="2"/>
  <c r="J182" i="2"/>
  <c r="C185" i="2"/>
  <c r="K185" i="2"/>
  <c r="J185" i="2"/>
  <c r="L185" i="2"/>
  <c r="C181" i="2"/>
  <c r="L181" i="2"/>
  <c r="K181" i="2"/>
  <c r="J181" i="2"/>
  <c r="H190" i="2"/>
  <c r="G190" i="2" s="1"/>
  <c r="B184" i="2"/>
  <c r="C180" i="2"/>
  <c r="J180" i="2"/>
  <c r="L180" i="2"/>
  <c r="K180" i="2"/>
  <c r="B189" i="2"/>
  <c r="H183" i="2"/>
  <c r="G183" i="2" s="1"/>
  <c r="T19" i="1"/>
  <c r="U14" i="1" s="1"/>
  <c r="B187" i="2"/>
  <c r="H181" i="2"/>
  <c r="G181" i="2" s="1"/>
  <c r="D30" i="10" l="1"/>
  <c r="D13" i="10"/>
  <c r="H9" i="10"/>
  <c r="F17" i="10"/>
  <c r="F12" i="10"/>
  <c r="F6" i="10"/>
  <c r="D7" i="10"/>
  <c r="F37" i="10"/>
  <c r="D32" i="10"/>
  <c r="F31" i="10"/>
  <c r="F42" i="10"/>
  <c r="D36" i="10"/>
  <c r="D38" i="10"/>
  <c r="D5" i="10"/>
  <c r="C193" i="2"/>
  <c r="K193" i="2"/>
  <c r="J193" i="2"/>
  <c r="L193" i="2"/>
  <c r="B194" i="2"/>
  <c r="H198" i="2"/>
  <c r="G198" i="2" s="1"/>
  <c r="U19" i="1"/>
  <c r="H193" i="2"/>
  <c r="G193" i="2" s="1"/>
  <c r="B197" i="2"/>
  <c r="C195" i="2"/>
  <c r="L195" i="2"/>
  <c r="J195" i="2"/>
  <c r="K195" i="2"/>
  <c r="B196" i="2"/>
  <c r="H192" i="2"/>
  <c r="G192" i="2" s="1"/>
  <c r="AC4" i="9"/>
  <c r="AA5" i="9"/>
  <c r="AB5" i="9"/>
  <c r="C187" i="2"/>
  <c r="K187" i="2"/>
  <c r="L187" i="2"/>
  <c r="J187" i="2"/>
  <c r="C184" i="2"/>
  <c r="L184" i="2"/>
  <c r="J184" i="2"/>
  <c r="K184" i="2"/>
  <c r="C186" i="2"/>
  <c r="L186" i="2"/>
  <c r="K186" i="2"/>
  <c r="J186" i="2"/>
  <c r="C189" i="2"/>
  <c r="L189" i="2"/>
  <c r="K189" i="2"/>
  <c r="J189" i="2"/>
  <c r="B188" i="2"/>
  <c r="H182" i="2"/>
  <c r="G182" i="2" s="1"/>
  <c r="C190" i="2"/>
  <c r="J190" i="2"/>
  <c r="K190" i="2"/>
  <c r="L190" i="2"/>
  <c r="K29" i="10" l="1"/>
  <c r="K28" i="10"/>
  <c r="K8" i="10"/>
  <c r="K7" i="10"/>
  <c r="F21" i="10"/>
  <c r="F23" i="10"/>
  <c r="H47" i="10"/>
  <c r="K32" i="10"/>
  <c r="K33" i="10"/>
  <c r="F46" i="10"/>
  <c r="F48" i="10"/>
  <c r="H22" i="10"/>
  <c r="K3" i="10"/>
  <c r="K4" i="10"/>
  <c r="C194" i="2"/>
  <c r="L194" i="2"/>
  <c r="J194" i="2"/>
  <c r="K194" i="2"/>
  <c r="C196" i="2"/>
  <c r="K196" i="2"/>
  <c r="J196" i="2"/>
  <c r="L196" i="2"/>
  <c r="C197" i="2"/>
  <c r="J197" i="2"/>
  <c r="K197" i="2"/>
  <c r="L197" i="2"/>
  <c r="B198" i="2"/>
  <c r="BM9" i="2" s="1"/>
  <c r="H194" i="2"/>
  <c r="G194" i="2" s="1"/>
  <c r="AE4" i="9"/>
  <c r="AC5" i="9"/>
  <c r="AD5" i="9"/>
  <c r="C188" i="2"/>
  <c r="J188" i="2"/>
  <c r="K188" i="2"/>
  <c r="L188" i="2"/>
  <c r="BM7" i="2" l="1"/>
  <c r="BM8" i="2"/>
  <c r="BJ13" i="2"/>
  <c r="BJ14" i="2"/>
  <c r="BM11" i="2"/>
  <c r="BM4" i="2"/>
  <c r="BM5" i="2"/>
  <c r="BM12" i="2"/>
  <c r="BM13" i="2"/>
  <c r="AO12" i="2"/>
  <c r="AX13" i="2"/>
  <c r="BM3" i="2"/>
  <c r="BM14" i="2"/>
  <c r="BM10" i="2"/>
  <c r="BM6" i="2"/>
  <c r="BD11" i="2"/>
  <c r="BJ11" i="2"/>
  <c r="BD9" i="2"/>
  <c r="BJ5" i="2"/>
  <c r="BJ4" i="2"/>
  <c r="BJ3" i="2"/>
  <c r="BJ7" i="2"/>
  <c r="BJ6" i="2"/>
  <c r="BJ8" i="2"/>
  <c r="BJ9" i="2"/>
  <c r="BJ12" i="2"/>
  <c r="BJ10" i="2"/>
  <c r="BD8" i="2"/>
  <c r="BG10" i="2"/>
  <c r="BG12" i="2"/>
  <c r="BG3" i="2"/>
  <c r="BG4" i="2"/>
  <c r="BG6" i="2"/>
  <c r="BG7" i="2"/>
  <c r="BG11" i="2"/>
  <c r="BG9" i="2"/>
  <c r="BG5" i="2"/>
  <c r="BG14" i="2"/>
  <c r="BG8" i="2"/>
  <c r="BG13" i="2"/>
  <c r="BD10" i="2"/>
  <c r="BD7" i="2"/>
  <c r="BD4" i="2"/>
  <c r="AU12" i="2"/>
  <c r="BD13" i="2"/>
  <c r="BD14" i="2"/>
  <c r="BD6" i="2"/>
  <c r="BD12" i="2"/>
  <c r="BD3" i="2"/>
  <c r="BD5" i="2"/>
  <c r="AR12" i="2"/>
  <c r="BA14" i="2"/>
  <c r="BA12" i="2"/>
  <c r="BA11" i="2"/>
  <c r="BA10" i="2"/>
  <c r="BA9" i="2"/>
  <c r="BA6" i="2"/>
  <c r="BA5" i="2"/>
  <c r="BA3" i="2"/>
  <c r="BA8" i="2"/>
  <c r="BA13" i="2"/>
  <c r="BA4" i="2"/>
  <c r="BA7" i="2"/>
  <c r="AX7" i="2"/>
  <c r="AX6" i="2"/>
  <c r="AX4" i="2"/>
  <c r="AX11" i="2"/>
  <c r="AX12" i="2"/>
  <c r="AX3" i="2"/>
  <c r="AX14" i="2"/>
  <c r="AX10" i="2"/>
  <c r="AX9" i="2"/>
  <c r="AX8" i="2"/>
  <c r="AX5" i="2"/>
  <c r="AU14" i="2"/>
  <c r="AU3" i="2"/>
  <c r="AU5" i="2"/>
  <c r="AU11" i="2"/>
  <c r="AU8" i="2"/>
  <c r="AU4" i="2"/>
  <c r="AU9" i="2"/>
  <c r="AU13" i="2"/>
  <c r="AU7" i="2"/>
  <c r="AU6" i="2"/>
  <c r="AU10" i="2"/>
  <c r="AO10" i="2"/>
  <c r="AR14" i="2"/>
  <c r="AR8" i="2"/>
  <c r="AR10" i="2"/>
  <c r="AR11" i="2"/>
  <c r="AR9" i="2"/>
  <c r="AR7" i="2"/>
  <c r="AR6" i="2"/>
  <c r="AR5" i="2"/>
  <c r="AR4" i="2"/>
  <c r="AR13" i="2"/>
  <c r="AR3" i="2"/>
  <c r="AO7" i="2"/>
  <c r="AO13" i="2"/>
  <c r="AO9" i="2"/>
  <c r="AO14" i="2"/>
  <c r="AO5" i="2"/>
  <c r="AO8" i="2"/>
  <c r="AO3" i="2"/>
  <c r="AO4" i="2"/>
  <c r="AO11" i="2"/>
  <c r="AO6" i="2"/>
  <c r="AL10" i="2"/>
  <c r="AL13" i="2"/>
  <c r="AL4" i="2"/>
  <c r="AL8" i="2"/>
  <c r="AL3" i="2"/>
  <c r="AL6" i="2"/>
  <c r="AL7" i="2"/>
  <c r="AL9" i="2"/>
  <c r="AC14" i="2"/>
  <c r="AL11" i="2"/>
  <c r="AL12" i="2"/>
  <c r="AL14" i="2"/>
  <c r="AL5" i="2"/>
  <c r="AC6" i="2"/>
  <c r="AI5" i="2"/>
  <c r="AI10" i="2"/>
  <c r="AI11" i="2"/>
  <c r="AI7" i="2"/>
  <c r="AI12" i="2"/>
  <c r="AI8" i="2"/>
  <c r="AI3" i="2"/>
  <c r="AI14" i="2"/>
  <c r="AI13" i="2"/>
  <c r="AI9" i="2"/>
  <c r="AI6" i="2"/>
  <c r="AI4" i="2"/>
  <c r="AC13" i="2"/>
  <c r="AF10" i="2"/>
  <c r="AF12" i="2"/>
  <c r="AF11" i="2"/>
  <c r="AF3" i="2"/>
  <c r="AF14" i="2"/>
  <c r="AF6" i="2"/>
  <c r="AF5" i="2"/>
  <c r="AF7" i="2"/>
  <c r="AF13" i="2"/>
  <c r="AF9" i="2"/>
  <c r="AF4" i="2"/>
  <c r="AF8" i="2"/>
  <c r="Z6" i="2"/>
  <c r="AC9" i="2"/>
  <c r="AC4" i="2"/>
  <c r="AC11" i="2"/>
  <c r="AC12" i="2"/>
  <c r="AC5" i="2"/>
  <c r="AC7" i="2"/>
  <c r="AC3" i="2"/>
  <c r="AC8" i="2"/>
  <c r="AC10" i="2"/>
  <c r="Z10" i="2"/>
  <c r="Z9" i="2"/>
  <c r="Z7" i="2"/>
  <c r="Z12" i="2"/>
  <c r="Z4" i="2"/>
  <c r="Z8" i="2"/>
  <c r="Z5" i="2"/>
  <c r="Z11" i="2"/>
  <c r="Z13" i="2"/>
  <c r="Z14" i="2"/>
  <c r="Z3" i="2"/>
  <c r="K5" i="10"/>
  <c r="K6" i="10"/>
  <c r="K31" i="10"/>
  <c r="K30" i="10"/>
  <c r="C198" i="2"/>
  <c r="G6" i="9" s="1"/>
  <c r="L198" i="2"/>
  <c r="K198" i="2"/>
  <c r="J198" i="2"/>
  <c r="AG4" i="9"/>
  <c r="AF5" i="9"/>
  <c r="AE5" i="9"/>
  <c r="AC6" i="9" l="1"/>
  <c r="K6" i="9"/>
  <c r="J6" i="9"/>
  <c r="Y6" i="9"/>
  <c r="Y3" i="2"/>
  <c r="B3" i="5" s="1"/>
  <c r="R6" i="9"/>
  <c r="L6" i="9"/>
  <c r="E6" i="9"/>
  <c r="N6" i="9"/>
  <c r="Y5" i="2"/>
  <c r="B5" i="5" s="1"/>
  <c r="Y8" i="2"/>
  <c r="B8" i="5" s="1"/>
  <c r="Y4" i="2"/>
  <c r="B4" i="5" s="1"/>
  <c r="W6" i="9"/>
  <c r="U6" i="9"/>
  <c r="D6" i="9"/>
  <c r="AD6" i="9"/>
  <c r="AA6" i="9"/>
  <c r="M6" i="9"/>
  <c r="C6" i="9"/>
  <c r="X6" i="9"/>
  <c r="Y12" i="2"/>
  <c r="B12" i="5" s="1"/>
  <c r="Y7" i="2"/>
  <c r="B7" i="5" s="1"/>
  <c r="Y14" i="2"/>
  <c r="B14" i="5" s="1"/>
  <c r="Y6" i="2"/>
  <c r="B6" i="5" s="1"/>
  <c r="Y13" i="2"/>
  <c r="B13" i="5" s="1"/>
  <c r="Y9" i="2"/>
  <c r="B9" i="5" s="1"/>
  <c r="Y11" i="2"/>
  <c r="B11" i="5" s="1"/>
  <c r="Y10" i="2"/>
  <c r="B10" i="5" s="1"/>
  <c r="AE6" i="9"/>
  <c r="AF6" i="9"/>
  <c r="F6" i="9"/>
  <c r="S6" i="9"/>
  <c r="V6" i="9"/>
  <c r="T6" i="9"/>
  <c r="H6" i="9"/>
  <c r="I6" i="9"/>
  <c r="Q6" i="9"/>
  <c r="AB6" i="9"/>
  <c r="Z6" i="9"/>
  <c r="O6" i="9"/>
  <c r="P6" i="9"/>
  <c r="AI4" i="9"/>
  <c r="AG6" i="9"/>
  <c r="AH6" i="9"/>
  <c r="AG5" i="9"/>
  <c r="AH5" i="9"/>
  <c r="B18" i="5" l="1"/>
  <c r="B23" i="5"/>
  <c r="B31" i="5"/>
  <c r="B19" i="5"/>
  <c r="B26" i="5"/>
  <c r="B28" i="5"/>
  <c r="B30" i="5"/>
  <c r="B21" i="5"/>
  <c r="B24" i="5"/>
  <c r="B29" i="5"/>
  <c r="B25" i="5"/>
  <c r="B20" i="5"/>
  <c r="AK4" i="9"/>
  <c r="AJ6" i="9"/>
  <c r="AI6" i="9"/>
  <c r="AJ5" i="9"/>
  <c r="AI5" i="9"/>
  <c r="AM4" i="9" l="1"/>
  <c r="AK6" i="9"/>
  <c r="AL6" i="9"/>
  <c r="AK5" i="9"/>
  <c r="AL5" i="9"/>
  <c r="AO4" i="9" l="1"/>
  <c r="AN6" i="9"/>
  <c r="AM6" i="9"/>
  <c r="AN5" i="9"/>
  <c r="AM5" i="9"/>
  <c r="AQ4" i="9" l="1"/>
  <c r="AP6" i="9"/>
  <c r="AO6" i="9"/>
  <c r="AO5" i="9"/>
  <c r="AP5" i="9"/>
  <c r="AS4" i="9" l="1"/>
  <c r="AR6" i="9"/>
  <c r="AQ6" i="9"/>
  <c r="AQ5" i="9"/>
  <c r="AR5" i="9"/>
  <c r="AT6" i="9" l="1"/>
  <c r="AS6" i="9"/>
  <c r="AT5" i="9"/>
  <c r="AS5" i="9"/>
  <c r="AD10" i="2" a="1"/>
  <c r="AD3" i="2" a="1"/>
  <c r="AD4" i="2" a="1"/>
  <c r="AD5" i="2" a="1"/>
  <c r="AD13" i="2" a="1"/>
  <c r="AD7" i="2" a="1"/>
  <c r="AD14" i="2" a="1"/>
  <c r="AD9" i="2" a="1"/>
  <c r="AD8" i="2" a="1"/>
  <c r="AD11" i="2" a="1"/>
  <c r="AD12" i="2" a="1"/>
  <c r="AD6" i="2" a="1"/>
  <c r="AD11" i="2" l="1"/>
  <c r="AD6" i="2"/>
  <c r="AD13" i="2"/>
  <c r="AD8" i="2"/>
  <c r="AD3" i="2"/>
  <c r="AD14" i="2"/>
  <c r="AB14" i="2" s="1"/>
  <c r="C14" i="5" s="1"/>
  <c r="AD5" i="2"/>
  <c r="AD10" i="2"/>
  <c r="AB10" i="2" s="1"/>
  <c r="C10" i="5" s="1"/>
  <c r="AD7" i="2"/>
  <c r="AD12" i="2"/>
  <c r="AD9" i="2"/>
  <c r="AD4" i="2"/>
  <c r="AB12" i="2" l="1"/>
  <c r="C12" i="5" s="1"/>
  <c r="AB4" i="2"/>
  <c r="C4" i="5" s="1"/>
  <c r="AB9" i="2"/>
  <c r="C9" i="5" s="1"/>
  <c r="AB13" i="2"/>
  <c r="C13" i="5" s="1"/>
  <c r="AB7" i="2"/>
  <c r="C7" i="5" s="1"/>
  <c r="AB6" i="2"/>
  <c r="C6" i="5" s="1"/>
  <c r="AB5" i="2"/>
  <c r="C5" i="5" s="1"/>
  <c r="AB3" i="2"/>
  <c r="C3" i="5" s="1"/>
  <c r="AB8" i="2"/>
  <c r="C8" i="5" s="1"/>
  <c r="AB11" i="2"/>
  <c r="C11" i="5" s="1"/>
  <c r="C24" i="5" l="1"/>
  <c r="C18" i="5"/>
  <c r="C20" i="5"/>
  <c r="C28" i="5"/>
  <c r="C31" i="5"/>
  <c r="C26" i="5"/>
  <c r="C19" i="5"/>
  <c r="C30" i="5"/>
  <c r="C23" i="5"/>
  <c r="C21" i="5"/>
  <c r="C29" i="5"/>
  <c r="C25" i="5"/>
  <c r="AG8" i="2" a="1"/>
  <c r="AG9" i="2" a="1"/>
  <c r="AG3" i="2" a="1"/>
  <c r="AG6" i="2" a="1"/>
  <c r="AG10" i="2" a="1"/>
  <c r="AG5" i="2" a="1"/>
  <c r="AG4" i="2" a="1"/>
  <c r="AG14" i="2" a="1"/>
  <c r="AG12" i="2" a="1"/>
  <c r="AG13" i="2" a="1"/>
  <c r="AG11" i="2" a="1"/>
  <c r="AG7" i="2" a="1"/>
  <c r="AG10" i="2" l="1"/>
  <c r="AE10" i="2" s="1"/>
  <c r="D10" i="5" s="1"/>
  <c r="AG3" i="2"/>
  <c r="AG8" i="2"/>
  <c r="AG14" i="2"/>
  <c r="AE14" i="2" s="1"/>
  <c r="D14" i="5" s="1"/>
  <c r="AG5" i="2"/>
  <c r="AG6" i="2"/>
  <c r="AG11" i="2"/>
  <c r="AG12" i="2"/>
  <c r="AE12" i="2" s="1"/>
  <c r="D12" i="5" s="1"/>
  <c r="AG9" i="2"/>
  <c r="AG13" i="2"/>
  <c r="AG4" i="2"/>
  <c r="AG7" i="2"/>
  <c r="AE11" i="2" l="1"/>
  <c r="D11" i="5" s="1"/>
  <c r="AE13" i="2"/>
  <c r="D13" i="5" s="1"/>
  <c r="AE7" i="2"/>
  <c r="D7" i="5" s="1"/>
  <c r="AE9" i="2"/>
  <c r="D9" i="5" s="1"/>
  <c r="AE4" i="2"/>
  <c r="D4" i="5" s="1"/>
  <c r="AE8" i="2"/>
  <c r="D8" i="5" s="1"/>
  <c r="AE6" i="2"/>
  <c r="D6" i="5" s="1"/>
  <c r="AE3" i="2"/>
  <c r="D3" i="5" s="1"/>
  <c r="AE5" i="2"/>
  <c r="D5" i="5" s="1"/>
  <c r="D30" i="5" l="1"/>
  <c r="D29" i="5"/>
  <c r="D31" i="5"/>
  <c r="D28" i="5"/>
  <c r="D24" i="5"/>
  <c r="D20" i="5"/>
  <c r="D18" i="5"/>
  <c r="D26" i="5"/>
  <c r="D21" i="5"/>
  <c r="D25" i="5"/>
  <c r="D19" i="5"/>
  <c r="D23" i="5"/>
  <c r="AJ4" i="2" a="1"/>
  <c r="AJ3" i="2" a="1"/>
  <c r="AJ5" i="2" a="1"/>
  <c r="AJ13" i="2" a="1"/>
  <c r="AJ7" i="2" a="1"/>
  <c r="AJ6" i="2" a="1"/>
  <c r="AJ9" i="2" a="1"/>
  <c r="AJ12" i="2" a="1"/>
  <c r="AJ14" i="2" a="1"/>
  <c r="AJ10" i="2" a="1"/>
  <c r="AJ8" i="2" a="1"/>
  <c r="AJ11" i="2" a="1"/>
  <c r="AJ8" i="2" l="1"/>
  <c r="AJ11" i="2"/>
  <c r="AJ10" i="2"/>
  <c r="AH10" i="2" s="1"/>
  <c r="E10" i="5" s="1"/>
  <c r="AJ5" i="2"/>
  <c r="AH5" i="2" s="1"/>
  <c r="E5" i="5" s="1"/>
  <c r="AJ12" i="2"/>
  <c r="AJ4" i="2"/>
  <c r="AJ7" i="2"/>
  <c r="AJ3" i="2"/>
  <c r="AJ9" i="2"/>
  <c r="AJ14" i="2"/>
  <c r="AJ6" i="2"/>
  <c r="AJ13" i="2"/>
  <c r="AH13" i="2" s="1"/>
  <c r="E13" i="5" s="1"/>
  <c r="AH4" i="2" l="1"/>
  <c r="E4" i="5" s="1"/>
  <c r="AH14" i="2"/>
  <c r="E14" i="5" s="1"/>
  <c r="AH6" i="2"/>
  <c r="E6" i="5" s="1"/>
  <c r="AH9" i="2"/>
  <c r="E9" i="5" s="1"/>
  <c r="AH12" i="2"/>
  <c r="E12" i="5" s="1"/>
  <c r="AH3" i="2"/>
  <c r="E3" i="5" s="1"/>
  <c r="AH7" i="2"/>
  <c r="E7" i="5" s="1"/>
  <c r="AH11" i="2"/>
  <c r="E11" i="5" s="1"/>
  <c r="AH8" i="2"/>
  <c r="E8" i="5" s="1"/>
  <c r="E20" i="5" l="1"/>
  <c r="E28" i="5"/>
  <c r="E24" i="5"/>
  <c r="E19" i="5"/>
  <c r="E18" i="5"/>
  <c r="E21" i="5"/>
  <c r="E30" i="5"/>
  <c r="E26" i="5"/>
  <c r="E23" i="5"/>
  <c r="E29" i="5"/>
  <c r="E31" i="5"/>
  <c r="E25" i="5"/>
  <c r="AM4" i="2" a="1"/>
  <c r="AM6" i="2" a="1"/>
  <c r="AM10" i="2" a="1"/>
  <c r="AM13" i="2" a="1"/>
  <c r="AM12" i="2" a="1"/>
  <c r="AM8" i="2" a="1"/>
  <c r="AM14" i="2" a="1"/>
  <c r="AM5" i="2" a="1"/>
  <c r="AM7" i="2" a="1"/>
  <c r="AM9" i="2" a="1"/>
  <c r="AM11" i="2" a="1"/>
  <c r="AM3" i="2" a="1"/>
  <c r="AM7" i="2" l="1"/>
  <c r="AK7" i="2" s="1"/>
  <c r="F7" i="5" s="1"/>
  <c r="AM9" i="2"/>
  <c r="AK9" i="2" s="1"/>
  <c r="F9" i="5" s="1"/>
  <c r="AM4" i="2"/>
  <c r="AM11" i="2"/>
  <c r="AM6" i="2"/>
  <c r="AM13" i="2"/>
  <c r="AK13" i="2" s="1"/>
  <c r="F13" i="5" s="1"/>
  <c r="AM12" i="2"/>
  <c r="AM14" i="2"/>
  <c r="AM3" i="2"/>
  <c r="AM5" i="2"/>
  <c r="AM8" i="2"/>
  <c r="AM10" i="2"/>
  <c r="AK3" i="2" l="1"/>
  <c r="F3" i="5" s="1"/>
  <c r="AK10" i="2"/>
  <c r="F10" i="5" s="1"/>
  <c r="AK8" i="2"/>
  <c r="F8" i="5" s="1"/>
  <c r="AK5" i="2"/>
  <c r="F5" i="5" s="1"/>
  <c r="AK14" i="2"/>
  <c r="F14" i="5" s="1"/>
  <c r="AK11" i="2"/>
  <c r="F11" i="5" s="1"/>
  <c r="AK4" i="2"/>
  <c r="F4" i="5" s="1"/>
  <c r="AK12" i="2"/>
  <c r="F12" i="5" s="1"/>
  <c r="AK6" i="2"/>
  <c r="F6" i="5" s="1"/>
  <c r="F26" i="5" l="1"/>
  <c r="F24" i="5"/>
  <c r="F23" i="5"/>
  <c r="F25" i="5"/>
  <c r="F21" i="5"/>
  <c r="F29" i="5"/>
  <c r="F19" i="5"/>
  <c r="F20" i="5"/>
  <c r="F30" i="5"/>
  <c r="F28" i="5"/>
  <c r="F31" i="5"/>
  <c r="F18" i="5"/>
  <c r="AP6" i="2" a="1"/>
  <c r="AP13" i="2" a="1"/>
  <c r="AP12" i="2" a="1"/>
  <c r="AP11" i="2" a="1"/>
  <c r="AP14" i="2" a="1"/>
  <c r="AP3" i="2" a="1"/>
  <c r="AP7" i="2" a="1"/>
  <c r="AP5" i="2" a="1"/>
  <c r="AP4" i="2" a="1"/>
  <c r="AP8" i="2" a="1"/>
  <c r="AP9" i="2" a="1"/>
  <c r="AP10" i="2" a="1"/>
  <c r="AP10" i="2" l="1"/>
  <c r="AP3" i="2"/>
  <c r="AN3" i="2" s="1"/>
  <c r="G3" i="5" s="1"/>
  <c r="AP12" i="2"/>
  <c r="AP13" i="2"/>
  <c r="AP5" i="2"/>
  <c r="AN5" i="2" s="1"/>
  <c r="G5" i="5" s="1"/>
  <c r="AP6" i="2"/>
  <c r="AP9" i="2"/>
  <c r="AP14" i="2"/>
  <c r="AP4" i="2"/>
  <c r="AP11" i="2"/>
  <c r="AP7" i="2"/>
  <c r="AP8" i="2"/>
  <c r="AN8" i="2" s="1"/>
  <c r="G8" i="5" s="1"/>
  <c r="AN9" i="2" l="1"/>
  <c r="G9" i="5" s="1"/>
  <c r="AN14" i="2"/>
  <c r="G14" i="5" s="1"/>
  <c r="AN7" i="2"/>
  <c r="G7" i="5" s="1"/>
  <c r="AN4" i="2"/>
  <c r="G4" i="5" s="1"/>
  <c r="AN11" i="2"/>
  <c r="G11" i="5" s="1"/>
  <c r="AN6" i="2"/>
  <c r="G6" i="5" s="1"/>
  <c r="AN13" i="2"/>
  <c r="G13" i="5" s="1"/>
  <c r="AN12" i="2"/>
  <c r="G12" i="5" s="1"/>
  <c r="AN10" i="2"/>
  <c r="G10" i="5" s="1"/>
  <c r="G26" i="5" l="1"/>
  <c r="G20" i="5"/>
  <c r="G19" i="5"/>
  <c r="G29" i="5"/>
  <c r="G18" i="5"/>
  <c r="G21" i="5"/>
  <c r="G31" i="5"/>
  <c r="G30" i="5"/>
  <c r="G23" i="5"/>
  <c r="G25" i="5"/>
  <c r="G28" i="5"/>
  <c r="G24" i="5"/>
  <c r="AS13" i="2" a="1"/>
  <c r="AS11" i="2" a="1"/>
  <c r="AS4" i="2" a="1"/>
  <c r="AS5" i="2" a="1"/>
  <c r="AS6" i="2" a="1"/>
  <c r="AS10" i="2" a="1"/>
  <c r="AS3" i="2" a="1"/>
  <c r="AS7" i="2" a="1"/>
  <c r="AS12" i="2" a="1"/>
  <c r="AS14" i="2" a="1"/>
  <c r="AS9" i="2" a="1"/>
  <c r="AS8" i="2" a="1"/>
  <c r="AS3" i="2" l="1"/>
  <c r="AQ3" i="2" s="1"/>
  <c r="H3" i="5" s="1"/>
  <c r="AS12" i="2"/>
  <c r="AS7" i="2"/>
  <c r="AS13" i="2"/>
  <c r="AQ13" i="2" s="1"/>
  <c r="H13" i="5" s="1"/>
  <c r="AS9" i="2"/>
  <c r="AQ9" i="2" s="1"/>
  <c r="H9" i="5" s="1"/>
  <c r="AS5" i="2"/>
  <c r="AQ5" i="2" s="1"/>
  <c r="H5" i="5" s="1"/>
  <c r="AS10" i="2"/>
  <c r="AS11" i="2"/>
  <c r="AS8" i="2"/>
  <c r="AS6" i="2"/>
  <c r="AS4" i="2"/>
  <c r="AQ4" i="2" s="1"/>
  <c r="H4" i="5" s="1"/>
  <c r="AS14" i="2"/>
  <c r="AQ14" i="2" s="1"/>
  <c r="H14" i="5" s="1"/>
  <c r="AQ11" i="2" l="1"/>
  <c r="H11" i="5" s="1"/>
  <c r="AQ10" i="2"/>
  <c r="H10" i="5" s="1"/>
  <c r="AQ6" i="2"/>
  <c r="H6" i="5" s="1"/>
  <c r="H18" i="5" s="1"/>
  <c r="AQ8" i="2"/>
  <c r="H8" i="5" s="1"/>
  <c r="AQ7" i="2"/>
  <c r="H7" i="5" s="1"/>
  <c r="AQ12" i="2"/>
  <c r="H12" i="5" s="1"/>
  <c r="H29" i="5" l="1"/>
  <c r="H23" i="5"/>
  <c r="H21" i="5"/>
  <c r="H19" i="5"/>
  <c r="H20" i="5"/>
  <c r="H25" i="5"/>
  <c r="H26" i="5"/>
  <c r="H28" i="5"/>
  <c r="H30" i="5"/>
  <c r="H24" i="5"/>
  <c r="H31" i="5"/>
  <c r="AV12" i="2" a="1"/>
  <c r="AV6" i="2" a="1"/>
  <c r="AV7" i="2" a="1"/>
  <c r="AV5" i="2" a="1"/>
  <c r="AV13" i="2" a="1"/>
  <c r="AV4" i="2" a="1"/>
  <c r="AV11" i="2" a="1"/>
  <c r="AV3" i="2" a="1"/>
  <c r="AV9" i="2" a="1"/>
  <c r="AV8" i="2" a="1"/>
  <c r="AV14" i="2" a="1"/>
  <c r="AV10" i="2" a="1"/>
  <c r="AV12" i="2" l="1"/>
  <c r="AT12" i="2" s="1"/>
  <c r="I12" i="5" s="1"/>
  <c r="AV3" i="2"/>
  <c r="AT3" i="2" s="1"/>
  <c r="I3" i="5" s="1"/>
  <c r="AV9" i="2"/>
  <c r="AV4" i="2"/>
  <c r="AT4" i="2" s="1"/>
  <c r="I4" i="5" s="1"/>
  <c r="AV7" i="2"/>
  <c r="AT7" i="2" s="1"/>
  <c r="I7" i="5" s="1"/>
  <c r="AV10" i="2"/>
  <c r="AT10" i="2" s="1"/>
  <c r="I10" i="5" s="1"/>
  <c r="AV6" i="2"/>
  <c r="AT6" i="2" s="1"/>
  <c r="I6" i="5" s="1"/>
  <c r="AV11" i="2"/>
  <c r="AV8" i="2"/>
  <c r="AV14" i="2"/>
  <c r="AV13" i="2"/>
  <c r="AV5" i="2"/>
  <c r="AT8" i="2" l="1"/>
  <c r="I8" i="5" s="1"/>
  <c r="AT5" i="2"/>
  <c r="I5" i="5" s="1"/>
  <c r="I19" i="5" s="1"/>
  <c r="AT13" i="2"/>
  <c r="I13" i="5" s="1"/>
  <c r="AT14" i="2"/>
  <c r="I14" i="5" s="1"/>
  <c r="AT11" i="2"/>
  <c r="I11" i="5" s="1"/>
  <c r="AT9" i="2"/>
  <c r="I9" i="5" s="1"/>
  <c r="I25" i="5" l="1"/>
  <c r="I20" i="5"/>
  <c r="I18" i="5"/>
  <c r="I21" i="5"/>
  <c r="I23" i="5"/>
  <c r="I29" i="5"/>
  <c r="I28" i="5"/>
  <c r="I24" i="5"/>
  <c r="I31" i="5"/>
  <c r="I26" i="5"/>
  <c r="I30" i="5"/>
  <c r="AY8" i="2" a="1"/>
  <c r="AY10" i="2" a="1"/>
  <c r="AY6" i="2" a="1"/>
  <c r="AY3" i="2" a="1"/>
  <c r="AY7" i="2" a="1"/>
  <c r="AY14" i="2" a="1"/>
  <c r="AY13" i="2" a="1"/>
  <c r="AY5" i="2" a="1"/>
  <c r="AY4" i="2" a="1"/>
  <c r="AY9" i="2" a="1"/>
  <c r="AY12" i="2" a="1"/>
  <c r="AY11" i="2" a="1"/>
  <c r="AY6" i="2" l="1"/>
  <c r="AY9" i="2"/>
  <c r="AY10" i="2"/>
  <c r="AY12" i="2"/>
  <c r="AW12" i="2" s="1"/>
  <c r="J12" i="5" s="1"/>
  <c r="AY4" i="2"/>
  <c r="AW4" i="2" s="1"/>
  <c r="J4" i="5" s="1"/>
  <c r="AY13" i="2"/>
  <c r="AW13" i="2" s="1"/>
  <c r="J13" i="5" s="1"/>
  <c r="AY3" i="2"/>
  <c r="AY7" i="2"/>
  <c r="AY11" i="2"/>
  <c r="AW11" i="2" s="1"/>
  <c r="J11" i="5" s="1"/>
  <c r="AY5" i="2"/>
  <c r="AY14" i="2"/>
  <c r="AY8" i="2"/>
  <c r="AW8" i="2" l="1"/>
  <c r="J8" i="5" s="1"/>
  <c r="AW14" i="2"/>
  <c r="J14" i="5" s="1"/>
  <c r="J31" i="5" s="1"/>
  <c r="AW5" i="2"/>
  <c r="J5" i="5" s="1"/>
  <c r="AW7" i="2"/>
  <c r="J7" i="5" s="1"/>
  <c r="AW3" i="2"/>
  <c r="J3" i="5" s="1"/>
  <c r="AW9" i="2"/>
  <c r="J9" i="5" s="1"/>
  <c r="AW10" i="2"/>
  <c r="J10" i="5" s="1"/>
  <c r="AW6" i="2"/>
  <c r="J6" i="5" s="1"/>
  <c r="J30" i="5" l="1"/>
  <c r="J29" i="5"/>
  <c r="J28" i="5"/>
  <c r="J21" i="5"/>
  <c r="J26" i="5"/>
  <c r="J25" i="5"/>
  <c r="J19" i="5"/>
  <c r="J20" i="5"/>
  <c r="J24" i="5"/>
  <c r="J18" i="5"/>
  <c r="J23" i="5"/>
  <c r="BB7" i="2" a="1"/>
  <c r="BB3" i="2" a="1"/>
  <c r="BB4" i="2" a="1"/>
  <c r="BB11" i="2" a="1"/>
  <c r="BB13" i="2" a="1"/>
  <c r="BB8" i="2" a="1"/>
  <c r="BB5" i="2" a="1"/>
  <c r="BB6" i="2" a="1"/>
  <c r="BB12" i="2" a="1"/>
  <c r="BB14" i="2" a="1"/>
  <c r="BB10" i="2" a="1"/>
  <c r="BB9" i="2" a="1"/>
  <c r="BB12" i="2" l="1"/>
  <c r="AZ12" i="2" s="1"/>
  <c r="K12" i="5" s="1"/>
  <c r="BB9" i="2"/>
  <c r="BB4" i="2"/>
  <c r="AZ4" i="2" s="1"/>
  <c r="K4" i="5" s="1"/>
  <c r="BB7" i="2"/>
  <c r="AZ7" i="2" s="1"/>
  <c r="K7" i="5" s="1"/>
  <c r="BB11" i="2"/>
  <c r="AZ11" i="2" s="1"/>
  <c r="K11" i="5" s="1"/>
  <c r="BB3" i="2"/>
  <c r="AZ3" i="2" s="1"/>
  <c r="K3" i="5" s="1"/>
  <c r="BB6" i="2"/>
  <c r="AZ6" i="2" s="1"/>
  <c r="K6" i="5" s="1"/>
  <c r="BB13" i="2"/>
  <c r="BB14" i="2"/>
  <c r="AZ14" i="2" s="1"/>
  <c r="K14" i="5" s="1"/>
  <c r="BB5" i="2"/>
  <c r="AZ5" i="2" s="1"/>
  <c r="K5" i="5" s="1"/>
  <c r="BB8" i="2"/>
  <c r="AZ8" i="2" s="1"/>
  <c r="K8" i="5" s="1"/>
  <c r="BB10" i="2"/>
  <c r="AZ10" i="2" l="1"/>
  <c r="K10" i="5" s="1"/>
  <c r="AZ9" i="2"/>
  <c r="K9" i="5" s="1"/>
  <c r="K20" i="5"/>
  <c r="AZ13" i="2"/>
  <c r="K13" i="5" s="1"/>
  <c r="K30" i="5" s="1"/>
  <c r="K21" i="5"/>
  <c r="K18" i="5"/>
  <c r="K19" i="5"/>
  <c r="K26" i="5" l="1"/>
  <c r="K25" i="5"/>
  <c r="K23" i="5"/>
  <c r="K24" i="5"/>
  <c r="K31" i="5"/>
  <c r="K29" i="5"/>
  <c r="K28" i="5"/>
  <c r="BE8" i="2" a="1"/>
  <c r="BE12" i="2" a="1"/>
  <c r="BE10" i="2" a="1"/>
  <c r="BE4" i="2" a="1"/>
  <c r="BE13" i="2" a="1"/>
  <c r="BE5" i="2" a="1"/>
  <c r="BE9" i="2" a="1"/>
  <c r="BE11" i="2" a="1"/>
  <c r="BE7" i="2" a="1"/>
  <c r="BE14" i="2" a="1"/>
  <c r="BE3" i="2" a="1"/>
  <c r="BE6" i="2" a="1"/>
  <c r="BE3" i="2" l="1"/>
  <c r="BC3" i="2" s="1"/>
  <c r="L3" i="5" s="1"/>
  <c r="BE7" i="2"/>
  <c r="BC7" i="2" s="1"/>
  <c r="L7" i="5" s="1"/>
  <c r="BE9" i="2"/>
  <c r="BE11" i="2"/>
  <c r="BE14" i="2"/>
  <c r="BE10" i="2"/>
  <c r="BE8" i="2"/>
  <c r="BE6" i="2"/>
  <c r="BC6" i="2" s="1"/>
  <c r="L6" i="5" s="1"/>
  <c r="BE4" i="2"/>
  <c r="BC4" i="2" s="1"/>
  <c r="L4" i="5" s="1"/>
  <c r="BE12" i="2"/>
  <c r="BC12" i="2" s="1"/>
  <c r="L12" i="5" s="1"/>
  <c r="BE13" i="2"/>
  <c r="BE5" i="2"/>
  <c r="BC5" i="2" s="1"/>
  <c r="L5" i="5" s="1"/>
  <c r="BC14" i="2" l="1"/>
  <c r="L14" i="5" s="1"/>
  <c r="BC13" i="2"/>
  <c r="L13" i="5" s="1"/>
  <c r="L18" i="5"/>
  <c r="L20" i="5"/>
  <c r="BC11" i="2"/>
  <c r="L11" i="5" s="1"/>
  <c r="L19" i="5"/>
  <c r="BC10" i="2"/>
  <c r="L10" i="5" s="1"/>
  <c r="BC9" i="2"/>
  <c r="L9" i="5" s="1"/>
  <c r="BC8" i="2"/>
  <c r="L8" i="5" s="1"/>
  <c r="L21" i="5"/>
  <c r="L30" i="5" l="1"/>
  <c r="L29" i="5"/>
  <c r="L26" i="5"/>
  <c r="L31" i="5"/>
  <c r="L28" i="5"/>
  <c r="L23" i="5"/>
  <c r="L24" i="5"/>
  <c r="L25" i="5"/>
  <c r="BH7" i="2" a="1"/>
  <c r="BH14" i="2" a="1"/>
  <c r="BH13" i="2" a="1"/>
  <c r="BH3" i="2" a="1"/>
  <c r="BH4" i="2" a="1"/>
  <c r="BH8" i="2" a="1"/>
  <c r="BH10" i="2" a="1"/>
  <c r="BH12" i="2" a="1"/>
  <c r="BH11" i="2" a="1"/>
  <c r="BH5" i="2" a="1"/>
  <c r="BH6" i="2" a="1"/>
  <c r="BH9" i="2" a="1"/>
  <c r="BH13" i="2" l="1"/>
  <c r="BF13" i="2" s="1"/>
  <c r="M13" i="5" s="1"/>
  <c r="BH8" i="2"/>
  <c r="BH5" i="2"/>
  <c r="BH4" i="2"/>
  <c r="BF4" i="2" s="1"/>
  <c r="M4" i="5" s="1"/>
  <c r="BH7" i="2"/>
  <c r="BF7" i="2" s="1"/>
  <c r="M7" i="5" s="1"/>
  <c r="BH10" i="2"/>
  <c r="BF10" i="2" s="1"/>
  <c r="M10" i="5" s="1"/>
  <c r="BH14" i="2"/>
  <c r="BF14" i="2" s="1"/>
  <c r="M14" i="5" s="1"/>
  <c r="BH11" i="2"/>
  <c r="BH6" i="2"/>
  <c r="BH9" i="2"/>
  <c r="BF9" i="2" s="1"/>
  <c r="M9" i="5" s="1"/>
  <c r="BH3" i="2"/>
  <c r="BF3" i="2" s="1"/>
  <c r="M3" i="5" s="1"/>
  <c r="BH12" i="2"/>
  <c r="BF12" i="2" s="1"/>
  <c r="M12" i="5" s="1"/>
  <c r="BF6" i="2" l="1"/>
  <c r="M6" i="5" s="1"/>
  <c r="BF11" i="2"/>
  <c r="M11" i="5" s="1"/>
  <c r="M29" i="5" s="1"/>
  <c r="BF5" i="2"/>
  <c r="M5" i="5" s="1"/>
  <c r="BF8" i="2"/>
  <c r="M8" i="5" s="1"/>
  <c r="M24" i="5" s="1"/>
  <c r="M20" i="5" l="1"/>
  <c r="M30" i="5"/>
  <c r="M31" i="5"/>
  <c r="M28" i="5"/>
  <c r="M23" i="5"/>
  <c r="M18" i="5"/>
  <c r="M26" i="5"/>
  <c r="M19" i="5"/>
  <c r="M21" i="5"/>
  <c r="M25" i="5"/>
  <c r="BK4" i="2" a="1"/>
  <c r="BK5" i="2" a="1"/>
  <c r="BK6" i="2" a="1"/>
  <c r="BK9" i="2" a="1"/>
  <c r="BK13" i="2" a="1"/>
  <c r="BK7" i="2" a="1"/>
  <c r="BK8" i="2" a="1"/>
  <c r="BK14" i="2" a="1"/>
  <c r="BK11" i="2" a="1"/>
  <c r="BK10" i="2" a="1"/>
  <c r="BK3" i="2" a="1"/>
  <c r="BK12" i="2" a="1"/>
  <c r="BK7" i="2" l="1"/>
  <c r="BK11" i="2"/>
  <c r="BK10" i="2"/>
  <c r="BI10" i="2" s="1"/>
  <c r="N10" i="5" s="1"/>
  <c r="BK5" i="2"/>
  <c r="BI5" i="2" s="1"/>
  <c r="N5" i="5" s="1"/>
  <c r="BK13" i="2"/>
  <c r="BK4" i="2"/>
  <c r="BI4" i="2" s="1"/>
  <c r="N4" i="5" s="1"/>
  <c r="BK3" i="2"/>
  <c r="BI3" i="2" s="1"/>
  <c r="N3" i="5" s="1"/>
  <c r="BK14" i="2"/>
  <c r="BK8" i="2"/>
  <c r="BI8" i="2" s="1"/>
  <c r="N8" i="5" s="1"/>
  <c r="BK6" i="2"/>
  <c r="BK12" i="2"/>
  <c r="BI12" i="2" s="1"/>
  <c r="N12" i="5" s="1"/>
  <c r="BK9" i="2"/>
  <c r="BI14" i="2" l="1"/>
  <c r="N14" i="5" s="1"/>
  <c r="BI6" i="2"/>
  <c r="N6" i="5" s="1"/>
  <c r="N18" i="5" s="1"/>
  <c r="BI9" i="2"/>
  <c r="N9" i="5" s="1"/>
  <c r="BI13" i="2"/>
  <c r="N13" i="5" s="1"/>
  <c r="BI11" i="2"/>
  <c r="N11" i="5" s="1"/>
  <c r="BI7" i="2"/>
  <c r="N7" i="5" s="1"/>
  <c r="N20" i="5" l="1"/>
  <c r="N19" i="5"/>
  <c r="N21" i="5"/>
  <c r="N28" i="5"/>
  <c r="N23" i="5"/>
  <c r="N26" i="5"/>
  <c r="N30" i="5"/>
  <c r="N25" i="5"/>
  <c r="N31" i="5"/>
  <c r="N24" i="5"/>
  <c r="N29" i="5"/>
  <c r="BN3" i="2" a="1"/>
  <c r="BN9" i="2" a="1"/>
  <c r="BN12" i="2" a="1"/>
  <c r="BN13" i="2" a="1"/>
  <c r="BN7" i="2" a="1"/>
  <c r="BN6" i="2" a="1"/>
  <c r="BN14" i="2" a="1"/>
  <c r="BN11" i="2" a="1"/>
  <c r="BN8" i="2" a="1"/>
  <c r="BN4" i="2" a="1"/>
  <c r="BN10" i="2" a="1"/>
  <c r="BN5" i="2" a="1"/>
  <c r="BN13" i="2" l="1"/>
  <c r="BL13" i="2" s="1"/>
  <c r="O13" i="5" s="1"/>
  <c r="BN11" i="2"/>
  <c r="BN9" i="2"/>
  <c r="BN5" i="2"/>
  <c r="BL5" i="2" s="1"/>
  <c r="O5" i="5" s="1"/>
  <c r="BN4" i="2"/>
  <c r="BL4" i="2" s="1"/>
  <c r="O4" i="5" s="1"/>
  <c r="BN8" i="2"/>
  <c r="BN7" i="2"/>
  <c r="BN6" i="2"/>
  <c r="BN12" i="2"/>
  <c r="BL12" i="2" s="1"/>
  <c r="O12" i="5" s="1"/>
  <c r="BN3" i="2"/>
  <c r="BL3" i="2" s="1"/>
  <c r="O3" i="5" s="1"/>
  <c r="BN10" i="2"/>
  <c r="BL10" i="2" s="1"/>
  <c r="O10" i="5" s="1"/>
  <c r="BN14" i="2"/>
  <c r="BL14" i="2" l="1"/>
  <c r="O14" i="5" s="1"/>
  <c r="BL11" i="2"/>
  <c r="O11" i="5" s="1"/>
  <c r="BL8" i="2"/>
  <c r="O8" i="5" s="1"/>
  <c r="BL6" i="2"/>
  <c r="O6" i="5" s="1"/>
  <c r="O21" i="5" s="1"/>
  <c r="BL7" i="2"/>
  <c r="O7" i="5" s="1"/>
  <c r="BL9" i="2"/>
  <c r="O9" i="5" s="1"/>
  <c r="O30" i="5" l="1"/>
  <c r="O23" i="5"/>
  <c r="O28" i="5"/>
  <c r="O29" i="5"/>
  <c r="O31" i="5"/>
  <c r="O25" i="5"/>
  <c r="O20" i="5"/>
  <c r="O24" i="5"/>
  <c r="O19" i="5"/>
  <c r="O18" i="5"/>
  <c r="O2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Dave Fiorella</author>
  </authors>
  <commentList>
    <comment ref="K46" authorId="0" shapeId="0" xr:uid="{BE2C9877-92A5-4047-8E97-BBD6EAE58A67}">
      <text>
        <r>
          <rPr>
            <b/>
            <sz val="9"/>
            <color indexed="81"/>
            <rFont val="Tahoma"/>
            <family val="2"/>
          </rPr>
          <t>Dave Fiorella:</t>
        </r>
        <r>
          <rPr>
            <sz val="9"/>
            <color indexed="81"/>
            <rFont val="Tahoma"/>
            <family val="2"/>
          </rPr>
          <t xml:space="preserve">
IR violation</t>
        </r>
      </text>
    </comment>
    <comment ref="K151" authorId="0" shapeId="0" xr:uid="{7369B1A8-BE72-4CD4-9E3F-2A63396518BD}">
      <text>
        <r>
          <rPr>
            <b/>
            <sz val="9"/>
            <color indexed="81"/>
            <rFont val="Tahoma"/>
            <family val="2"/>
          </rPr>
          <t>Dave Fiorella:</t>
        </r>
        <r>
          <rPr>
            <sz val="9"/>
            <color indexed="81"/>
            <rFont val="Tahoma"/>
            <family val="2"/>
          </rPr>
          <t xml:space="preserve">
IR violation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<sst xmlns="http://schemas.openxmlformats.org/spreadsheetml/2006/main" count="928" uniqueCount="285">
  <si>
    <t>Team 1</t>
  </si>
  <si>
    <t>vs.</t>
  </si>
  <si>
    <t>Team 2</t>
  </si>
  <si>
    <t>Week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</si>
  <si>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</si>
  <si>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</si>
  <si>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</si>
  <si>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</si>
  <si>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</si>
  <si>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</si>
  <si>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</si>
  <si>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</si>
  <si>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</si>
  <si>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</si>
  <si>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</si>
  <si>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</si>
  <si>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</si>
  <si>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</si>
  <si>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W/L/T</t>
  </si>
  <si>
    <t>Weekly Rank</t>
  </si>
  <si>
    <t>W</t>
  </si>
  <si>
    <t>L</t>
  </si>
  <si>
    <t>T</t>
  </si>
  <si>
    <t>Pts For</t>
  </si>
  <si>
    <t>Pts Agnst</t>
  </si>
  <si>
    <t>Median Win</t>
  </si>
  <si>
    <t>Team</t>
  </si>
  <si>
    <t>Ov. Rank</t>
  </si>
  <si>
    <t>Div. Rank</t>
  </si>
  <si>
    <t>Teams</t>
  </si>
  <si>
    <t>Standings Data Table</t>
  </si>
  <si>
    <t>Matches Data Table</t>
  </si>
  <si>
    <t>Points For</t>
  </si>
  <si>
    <t>Points Against</t>
  </si>
  <si>
    <t>Total</t>
  </si>
  <si>
    <t>Avg</t>
  </si>
  <si>
    <t>Dif</t>
  </si>
  <si>
    <t>Overall Ranking</t>
  </si>
  <si>
    <t>Divisional Ranking</t>
  </si>
  <si>
    <t>Most Points Scored (End of Year)</t>
  </si>
  <si>
    <t>Most Points Scored (In a Single Week)</t>
  </si>
  <si>
    <t>Biggest Margin of Victory</t>
  </si>
  <si>
    <t>Smallest Margin of Victory</t>
  </si>
  <si>
    <t>Most Points Scored Against (End of Year)</t>
  </si>
  <si>
    <t>Pts Dif</t>
  </si>
  <si>
    <t>Dave</t>
  </si>
  <si>
    <t>Justin</t>
  </si>
  <si>
    <t>Eddie</t>
  </si>
  <si>
    <t>Steve</t>
  </si>
  <si>
    <t>Dylan</t>
  </si>
  <si>
    <t>Nate</t>
  </si>
  <si>
    <t>Ian</t>
  </si>
  <si>
    <t>Jared</t>
  </si>
  <si>
    <t>Tom</t>
  </si>
  <si>
    <t>Beau</t>
  </si>
  <si>
    <t>Owner</t>
  </si>
  <si>
    <t>Mr. S</t>
  </si>
  <si>
    <t>John</t>
  </si>
  <si>
    <t>Dan</t>
  </si>
  <si>
    <t>Kate</t>
  </si>
  <si>
    <t>Mrs. H</t>
  </si>
  <si>
    <t>Neal</t>
  </si>
  <si>
    <t>Mrs. S</t>
  </si>
  <si>
    <t>Ryan</t>
  </si>
  <si>
    <t>Kari</t>
  </si>
  <si>
    <t>Regular Season</t>
  </si>
  <si>
    <t>Playoffs</t>
  </si>
  <si>
    <t>Owner:</t>
  </si>
  <si>
    <t>Week 15</t>
  </si>
  <si>
    <t>Week 16</t>
  </si>
  <si>
    <t>Week 17</t>
  </si>
  <si>
    <t>Bye Week Teams</t>
  </si>
  <si>
    <t>Winner's Bracket</t>
  </si>
  <si>
    <t>Max</t>
  </si>
  <si>
    <t>Loser's Bracket</t>
  </si>
  <si>
    <t>Waiver</t>
  </si>
  <si>
    <t>1st -</t>
  </si>
  <si>
    <t>2nd -</t>
  </si>
  <si>
    <t>3rd -</t>
  </si>
  <si>
    <t>4th -</t>
  </si>
  <si>
    <t>5th -</t>
  </si>
  <si>
    <t>6th -</t>
  </si>
  <si>
    <t xml:space="preserve">7th - </t>
  </si>
  <si>
    <t xml:space="preserve">8th - </t>
  </si>
  <si>
    <t xml:space="preserve">9th - </t>
  </si>
  <si>
    <t xml:space="preserve">10th - </t>
  </si>
  <si>
    <t xml:space="preserve">11th - </t>
  </si>
  <si>
    <t xml:space="preserve">12th - </t>
  </si>
  <si>
    <t>The MT</t>
  </si>
  <si>
    <t>Rico</t>
  </si>
  <si>
    <t>Stefan</t>
  </si>
  <si>
    <t>Knowles</t>
  </si>
  <si>
    <t>Playoff Rank</t>
  </si>
  <si>
    <t>Points Scored</t>
  </si>
  <si>
    <t>Median</t>
  </si>
  <si>
    <t>* Copy and paste in score results from Yahoo into the 'Raw Data' tab under the appropriate week</t>
  </si>
  <si>
    <t>* Add team and player names to the 'Raw Data' tab in the blue Teams/Owner chart</t>
  </si>
  <si>
    <t>* Team names will be automatically populated on the 'Raw Data' tab, but the points scored will need to be manually added under each name</t>
  </si>
  <si>
    <t>Pre-season:</t>
  </si>
  <si>
    <t>Weekly:</t>
  </si>
  <si>
    <t>During Playoffs:</t>
  </si>
  <si>
    <t>Post-Season:</t>
  </si>
  <si>
    <t>* Hide the 'How To', 'Raw Data', and 'Calculations' tabs</t>
  </si>
  <si>
    <t>Jafar</t>
  </si>
  <si>
    <t>The Goob Troop</t>
  </si>
  <si>
    <t>Herbie's Honkers</t>
  </si>
  <si>
    <t>Stupid Smartass Psycho</t>
  </si>
  <si>
    <t>SqueakSqueakinSqueakSqueakity</t>
  </si>
  <si>
    <t>Tick Tock the Crocodile</t>
  </si>
  <si>
    <t>Aladdin Jazerra</t>
  </si>
  <si>
    <t>Prince Abooboo</t>
  </si>
  <si>
    <t>Wrong Lever!</t>
  </si>
  <si>
    <t>5 Dozen Eggs by Gaston</t>
  </si>
  <si>
    <t>0-1-0 | 6th</t>
  </si>
  <si>
    <t>logo</t>
  </si>
  <si>
    <t>vs</t>
  </si>
  <si>
    <t>1-0-0 | 2nd</t>
  </si>
  <si>
    <t>1-0-0 | 3rd</t>
  </si>
  <si>
    <t>0-1-0 | 8th</t>
  </si>
  <si>
    <t>1-0-0 | 5th</t>
  </si>
  <si>
    <t>We're all mad here</t>
  </si>
  <si>
    <t>0-1-0 | 9th</t>
  </si>
  <si>
    <t>0-1-0 | 12th</t>
  </si>
  <si>
    <t>1-0-0 | 4th</t>
  </si>
  <si>
    <t>0-1-0 | 11th</t>
  </si>
  <si>
    <t>1-0-0 | 1st</t>
  </si>
  <si>
    <t>1-0-0 | 7th</t>
  </si>
  <si>
    <t>0-1-0 | 10th</t>
  </si>
  <si>
    <t>0-2-0 | 11th</t>
  </si>
  <si>
    <t>1-1-0 | 7th</t>
  </si>
  <si>
    <t>1-1-0 | 4th</t>
  </si>
  <si>
    <t>The Rescuers vs Medusa</t>
  </si>
  <si>
    <t>2-0-0 | 1st</t>
  </si>
  <si>
    <t>2-0-0 | 2nd</t>
  </si>
  <si>
    <t>1-1-0 | 6th</t>
  </si>
  <si>
    <t>1-1-0 | 10th</t>
  </si>
  <si>
    <t>1-1-0 | 3rd</t>
  </si>
  <si>
    <t>1-1-0 | 9th</t>
  </si>
  <si>
    <t>1-1-0 | 8th</t>
  </si>
  <si>
    <t>1-1-0 | 5th</t>
  </si>
  <si>
    <t>0-2-0 | 12th</t>
  </si>
  <si>
    <t>1-2-0 | 9th</t>
  </si>
  <si>
    <t>0-3-0 | 12th</t>
  </si>
  <si>
    <t>2-1-0 | 5th</t>
  </si>
  <si>
    <t>1-2-0 | 10th</t>
  </si>
  <si>
    <t>3-0-0 | 2nd</t>
  </si>
  <si>
    <t>1-2-0 | 11th</t>
  </si>
  <si>
    <t>2-1-0 | 4th</t>
  </si>
  <si>
    <t>1-2-0 | 8th</t>
  </si>
  <si>
    <t>1-2-0 | 6th</t>
  </si>
  <si>
    <t>3-0-0 | 1st</t>
  </si>
  <si>
    <t>2-1-0 | 3rd</t>
  </si>
  <si>
    <t>1-2-0 | 7th</t>
  </si>
  <si>
    <t>2-2-0 | 5th</t>
  </si>
  <si>
    <t>1-3-0 | 10th</t>
  </si>
  <si>
    <t>3-1-0 | 3rd</t>
  </si>
  <si>
    <t>1-3-0 | 9th</t>
  </si>
  <si>
    <t>4-0-0 | 1st</t>
  </si>
  <si>
    <t>2-2-0 | 4th</t>
  </si>
  <si>
    <t>2-2-0 | 7th</t>
  </si>
  <si>
    <t>1-3-0 | 11th</t>
  </si>
  <si>
    <t>1-3-0 | 12th</t>
  </si>
  <si>
    <t>2-2-0 | 6th</t>
  </si>
  <si>
    <t>2-2-0 | 8th</t>
  </si>
  <si>
    <t>3-1-0 | 2nd</t>
  </si>
  <si>
    <t>3-2-0 | 5th</t>
  </si>
  <si>
    <t>1-4-0 | 10th</t>
  </si>
  <si>
    <t>4-1-0 | 2nd</t>
  </si>
  <si>
    <t>2-3-0 | 7th</t>
  </si>
  <si>
    <t>5-0-0 | 1st</t>
  </si>
  <si>
    <t>2-3-0 | 9th</t>
  </si>
  <si>
    <t>1-4-0 | 12th</t>
  </si>
  <si>
    <t>2-3-0 | 8th</t>
  </si>
  <si>
    <t>1-4-0 | 11th</t>
  </si>
  <si>
    <t>3-2-0 | 6th</t>
  </si>
  <si>
    <t>3-2-0 | 3rd</t>
  </si>
  <si>
    <t>3-2-0 | 4th</t>
  </si>
  <si>
    <t>4-2-0 | 4th</t>
  </si>
  <si>
    <t>2-4-0 | 10th</t>
  </si>
  <si>
    <t>4-2-0 | 3rd</t>
  </si>
  <si>
    <t>6-0-0 | 1st</t>
  </si>
  <si>
    <t>3-3-0 | 7th</t>
  </si>
  <si>
    <t>1-5-0 | 12th</t>
  </si>
  <si>
    <t>1-5-0 | 11th</t>
  </si>
  <si>
    <t>4-2-0 | 2nd</t>
  </si>
  <si>
    <t>2-4-0 | 8th</t>
  </si>
  <si>
    <t>2-4-0 | 9th</t>
  </si>
  <si>
    <t>4-2-0 | 5th</t>
  </si>
  <si>
    <t>3-3-0 | 6th</t>
  </si>
  <si>
    <t>4-3-0 | 5th</t>
  </si>
  <si>
    <t>2-5-0 | 11th</t>
  </si>
  <si>
    <t>4-3-0 | 4th</t>
  </si>
  <si>
    <t>3-4-0 | 8th</t>
  </si>
  <si>
    <t>7-0-0 | 1st</t>
  </si>
  <si>
    <t>2-5-0 | 10th</t>
  </si>
  <si>
    <t>3-4-0 | 7th</t>
  </si>
  <si>
    <t>5-2-0 | 2nd</t>
  </si>
  <si>
    <t>3-4-0 | 9th</t>
  </si>
  <si>
    <t>4-3-0 | 6th</t>
  </si>
  <si>
    <t>1-6-0 | 12th</t>
  </si>
  <si>
    <t>4-3-0 | 3rd</t>
  </si>
  <si>
    <t>5-3-0 | 4th</t>
  </si>
  <si>
    <t>5-3-0 | 2nd</t>
  </si>
  <si>
    <t>4-4-0 | 6th</t>
  </si>
  <si>
    <t>5-3-0 | 5th</t>
  </si>
  <si>
    <t>7-1-0 | 1st</t>
  </si>
  <si>
    <t>4-4-0 | 7th</t>
  </si>
  <si>
    <t>3-5-0 | 9th</t>
  </si>
  <si>
    <t>3-5-0 | 8th</t>
  </si>
  <si>
    <t>2-6-0 | 12th</t>
  </si>
  <si>
    <t>5-3-0 | 3rd</t>
  </si>
  <si>
    <t>3-5-0 | 10th</t>
  </si>
  <si>
    <t>2-6-0 | 11th</t>
  </si>
  <si>
    <t>5-4-0 | 5th</t>
  </si>
  <si>
    <t>5-4-0 | 6th</t>
  </si>
  <si>
    <t>8-1-0 | 1st</t>
  </si>
  <si>
    <t>5-4-0 | 4th</t>
  </si>
  <si>
    <t>3-6-0 | 10th</t>
  </si>
  <si>
    <t>4-5-0 | 8th</t>
  </si>
  <si>
    <t>3-6-0 | 11th</t>
  </si>
  <si>
    <t>2-7-0 | 12th</t>
  </si>
  <si>
    <t>3-6-0 | 9th</t>
  </si>
  <si>
    <t>6-3-0 | 3rd</t>
  </si>
  <si>
    <t>6-3-0 | 2nd</t>
  </si>
  <si>
    <t>4-5-0 | 7th</t>
  </si>
  <si>
    <t>5-5-0 | 5th</t>
  </si>
  <si>
    <t>7-3-0 | 3rd</t>
  </si>
  <si>
    <t>5-5-0 | 6th</t>
  </si>
  <si>
    <t>4-6-0 | 9th</t>
  </si>
  <si>
    <t>9-1-0 | 1st</t>
  </si>
  <si>
    <t>2-8-0 | 12th</t>
  </si>
  <si>
    <t>4-6-0 | 8th</t>
  </si>
  <si>
    <t>5-5-0 | 4th</t>
  </si>
  <si>
    <t>4-6-0 | 10th</t>
  </si>
  <si>
    <t>5-5-0 | 7th</t>
  </si>
  <si>
    <t>3-7-0 | 11th</t>
  </si>
  <si>
    <t>7-3-0 | 2nd</t>
  </si>
  <si>
    <t>6-5-0 | 4th</t>
  </si>
  <si>
    <t>9-2-0 | 1st</t>
  </si>
  <si>
    <t>6-5-0 | 5th</t>
  </si>
  <si>
    <t>7-4-0 | 3rd</t>
  </si>
  <si>
    <t>4-7-0 | 9th</t>
  </si>
  <si>
    <t>8-3-0 | 2nd</t>
  </si>
  <si>
    <t>5-6-0 | 8th</t>
  </si>
  <si>
    <t>4-7-0 | 10th</t>
  </si>
  <si>
    <t>3-8-0 | 12th</t>
  </si>
  <si>
    <t>3-8-0 | 11th</t>
  </si>
  <si>
    <t>6-5-0 | 6th</t>
  </si>
  <si>
    <t>5-6-0 | 7th</t>
  </si>
  <si>
    <t>7-5-0 | 4th</t>
  </si>
  <si>
    <t>6-6-0 | 6th</t>
  </si>
  <si>
    <t>7-5-0 | 5th</t>
  </si>
  <si>
    <t>4-8-0 | 11th</t>
  </si>
  <si>
    <t>10-2-0 | 1st</t>
  </si>
  <si>
    <t>5-7-0 | 9th</t>
  </si>
  <si>
    <t>5-7-0 | 8th</t>
  </si>
  <si>
    <t>3-9-0 | 12th</t>
  </si>
  <si>
    <t>4-8-0 | 10th</t>
  </si>
  <si>
    <t>5-7-0 | 7th</t>
  </si>
  <si>
    <t>8-4-0 | 2nd</t>
  </si>
  <si>
    <t>8-4-0 | 3rd</t>
  </si>
  <si>
    <t>7-6-0 | 4th</t>
  </si>
  <si>
    <t>6-7-0 | 7th</t>
  </si>
  <si>
    <t>7-6-0 | 5th</t>
  </si>
  <si>
    <t>6-7-0 | 6th</t>
  </si>
  <si>
    <t>11-2-0 | 1st</t>
  </si>
  <si>
    <t>8-5-0 | 3rd</t>
  </si>
  <si>
    <t>5-8-0 | 9th</t>
  </si>
  <si>
    <t>9-4-0 | 2nd</t>
  </si>
  <si>
    <t>5-8-0 | 10th</t>
  </si>
  <si>
    <t>4-9-0 | 11th</t>
  </si>
  <si>
    <t>4-9-0 | 12th</t>
  </si>
  <si>
    <t>6-7-0 | 8th</t>
  </si>
  <si>
    <t>8-6-0 | 3rd</t>
  </si>
  <si>
    <t>4-10-0 | 12th</t>
  </si>
  <si>
    <t>7-7-0 | 6th</t>
  </si>
  <si>
    <t>5-9-0 | 10th</t>
  </si>
  <si>
    <t>11-3-0 | 1st</t>
  </si>
  <si>
    <t>10-4-0 | 2nd</t>
  </si>
  <si>
    <t>6-8-0 | 8th</t>
  </si>
  <si>
    <t>7-7-0 | 7th</t>
  </si>
  <si>
    <t>6-8-0 | 9th</t>
  </si>
  <si>
    <t>8-6-0 | 4th</t>
  </si>
  <si>
    <t>5-9-0 | 11th</t>
  </si>
  <si>
    <t>7-7-0 | 5th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</si>
</sst>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);[Red]\(0.00\)"/>
  </numFmts>
  <fonts count="31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9"/>
      <color theme="1"/>
      <name val="Roboto Condensed"/>
    </font>
    <font>
      <sz val="10"/>
      <color theme="1"/>
      <name val="Roboto Condensed"/>
    </font>
    <font>
      <b/>
      <u/>
      <sz val="9"/>
      <color theme="1"/>
      <name val="Roboto Condensed"/>
    </font>
    <font>
      <sz val="9"/>
      <color theme="1"/>
      <name val="Roboto Condensed"/>
    </font>
    <font>
      <b/>
      <i/>
      <u/>
      <sz val="9"/>
      <color theme="1"/>
      <name val="Roboto Condensed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0"/>
      <color indexed="57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</font>
    <font>
      <i/>
      <sz val="8"/>
      <color theme="0" tint="-0.249977111117893"/>
      <name val="Roboto Condensed"/>
    </font>
    <font>
      <sz val="10"/>
      <color theme="0" tint="-0.249977111117893"/>
      <name val="Roboto Condensed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i/>
      <u/>
      <sz val="10"/>
      <color theme="1"/>
      <name val="Roboto Condensed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n">
        <color indexed="64"/>
      </bottom>
      <diagonal/>
    </border>
    <border>
      <left style="thick">
        <color theme="4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 style="thick">
        <color theme="4"/>
      </right>
      <top style="thin">
        <color theme="4"/>
      </top>
      <bottom/>
      <diagonal/>
    </border>
    <border>
      <left style="thick">
        <color theme="4"/>
      </left>
      <right style="thick">
        <color theme="4"/>
      </right>
      <top/>
      <bottom/>
      <diagonal/>
    </border>
    <border>
      <left style="thick">
        <color theme="4"/>
      </left>
      <right style="thick">
        <color theme="4"/>
      </right>
      <top/>
      <bottom style="thick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/>
      <right/>
      <top style="thick">
        <color theme="4"/>
      </top>
      <bottom/>
      <diagonal/>
    </border>
    <border>
      <left/>
      <right style="thin">
        <color indexed="64"/>
      </right>
      <top style="thick">
        <color theme="4"/>
      </top>
      <bottom/>
      <diagonal/>
    </border>
    <border>
      <left style="thin">
        <color indexed="64"/>
      </left>
      <right/>
      <top style="thick">
        <color theme="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16" fillId="0" borderId="0"/>
  </cellStyleXfs>
  <cellXfs count="105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6" fillId="0" borderId="0" xfId="0" applyFont="1" applyAlignment="1">
      <alignment horizontal="center"/>
    </xf>
    <xf numFmtId="0" fontId="1" fillId="0" borderId="1" xfId="1" applyAlignment="1">
      <alignment horizontal="center"/>
    </xf>
    <xf numFmtId="0" fontId="6" fillId="2" borderId="0" xfId="0" applyFon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2" fillId="2" borderId="0" xfId="0" applyFont="1" applyFill="1"/>
    <xf numFmtId="0" fontId="7" fillId="2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2" fontId="10" fillId="0" borderId="0" xfId="0" applyNumberFormat="1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2" fontId="12" fillId="0" borderId="0" xfId="0" applyNumberFormat="1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1" fontId="12" fillId="0" borderId="0" xfId="0" applyNumberFormat="1" applyFont="1" applyAlignment="1">
      <alignment horizontal="center"/>
    </xf>
    <xf numFmtId="0" fontId="12" fillId="0" borderId="2" xfId="0" applyFont="1" applyBorder="1" applyAlignment="1">
      <alignment horizontal="center"/>
    </xf>
    <xf numFmtId="1" fontId="12" fillId="0" borderId="2" xfId="0" applyNumberFormat="1" applyFont="1" applyBorder="1" applyAlignment="1">
      <alignment horizontal="center"/>
    </xf>
    <xf numFmtId="2" fontId="12" fillId="0" borderId="2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15" fillId="0" borderId="0" xfId="0" applyFont="1" applyAlignment="1">
      <alignment horizontal="center"/>
    </xf>
    <xf numFmtId="2" fontId="15" fillId="0" borderId="0" xfId="0" applyNumberFormat="1" applyFont="1" applyAlignment="1">
      <alignment horizontal="center"/>
    </xf>
    <xf numFmtId="2" fontId="0" fillId="0" borderId="0" xfId="0" applyNumberFormat="1"/>
    <xf numFmtId="0" fontId="14" fillId="0" borderId="0" xfId="0" applyFont="1" applyAlignment="1">
      <alignment horizontal="right"/>
    </xf>
    <xf numFmtId="0" fontId="17" fillId="0" borderId="0" xfId="2" applyFont="1" applyAlignment="1">
      <alignment horizontal="center"/>
    </xf>
    <xf numFmtId="0" fontId="16" fillId="0" borderId="0" xfId="2" applyAlignment="1">
      <alignment horizontal="center"/>
    </xf>
    <xf numFmtId="0" fontId="18" fillId="0" borderId="0" xfId="2" applyFont="1" applyAlignment="1">
      <alignment horizontal="center"/>
    </xf>
    <xf numFmtId="0" fontId="19" fillId="0" borderId="0" xfId="2" applyFont="1" applyAlignment="1">
      <alignment horizontal="center"/>
    </xf>
    <xf numFmtId="0" fontId="20" fillId="0" borderId="0" xfId="2" applyFont="1" applyAlignment="1">
      <alignment horizontal="center"/>
    </xf>
    <xf numFmtId="0" fontId="21" fillId="0" borderId="0" xfId="2" applyFont="1" applyAlignment="1">
      <alignment horizontal="center"/>
    </xf>
    <xf numFmtId="0" fontId="17" fillId="0" borderId="9" xfId="2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0" fillId="0" borderId="2" xfId="0" applyBorder="1" applyAlignment="1">
      <alignment horizontal="center"/>
    </xf>
    <xf numFmtId="0" fontId="0" fillId="0" borderId="10" xfId="0" applyBorder="1"/>
    <xf numFmtId="0" fontId="0" fillId="0" borderId="11" xfId="0" applyBorder="1" applyAlignment="1">
      <alignment horizontal="center"/>
    </xf>
    <xf numFmtId="0" fontId="0" fillId="0" borderId="13" xfId="0" applyBorder="1"/>
    <xf numFmtId="0" fontId="0" fillId="0" borderId="12" xfId="0" applyBorder="1" applyAlignment="1">
      <alignment horizontal="center"/>
    </xf>
    <xf numFmtId="2" fontId="0" fillId="0" borderId="14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0" fontId="7" fillId="0" borderId="0" xfId="0" applyFont="1"/>
    <xf numFmtId="0" fontId="25" fillId="0" borderId="0" xfId="0" applyFont="1"/>
    <xf numFmtId="0" fontId="25" fillId="0" borderId="12" xfId="0" applyFont="1" applyBorder="1"/>
    <xf numFmtId="0" fontId="12" fillId="0" borderId="2" xfId="0" applyFont="1" applyBorder="1" applyAlignment="1">
      <alignment horizontal="right"/>
    </xf>
    <xf numFmtId="0" fontId="22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2" fontId="4" fillId="0" borderId="0" xfId="0" applyNumberFormat="1" applyFont="1"/>
    <xf numFmtId="2" fontId="24" fillId="0" borderId="0" xfId="0" applyNumberFormat="1" applyFont="1"/>
    <xf numFmtId="0" fontId="2" fillId="0" borderId="0" xfId="0" applyFont="1" applyAlignment="1">
      <alignment horizontal="center"/>
    </xf>
    <xf numFmtId="0" fontId="2" fillId="0" borderId="12" xfId="0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right"/>
    </xf>
    <xf numFmtId="0" fontId="26" fillId="0" borderId="0" xfId="0" applyFont="1" applyAlignment="1">
      <alignment horizontal="center"/>
    </xf>
    <xf numFmtId="0" fontId="19" fillId="0" borderId="17" xfId="2" applyFont="1" applyBorder="1" applyAlignment="1">
      <alignment horizontal="center"/>
    </xf>
    <xf numFmtId="0" fontId="19" fillId="0" borderId="18" xfId="2" applyFont="1" applyBorder="1" applyAlignment="1">
      <alignment horizontal="center"/>
    </xf>
    <xf numFmtId="0" fontId="20" fillId="0" borderId="19" xfId="2" applyFont="1" applyBorder="1" applyAlignment="1">
      <alignment horizontal="center"/>
    </xf>
    <xf numFmtId="0" fontId="20" fillId="0" borderId="20" xfId="2" applyFont="1" applyBorder="1" applyAlignment="1">
      <alignment horizontal="center"/>
    </xf>
    <xf numFmtId="0" fontId="14" fillId="2" borderId="0" xfId="0" applyFont="1" applyFill="1" applyAlignment="1">
      <alignment horizontal="center"/>
    </xf>
    <xf numFmtId="2" fontId="0" fillId="2" borderId="0" xfId="0" applyNumberFormat="1" applyFill="1" applyAlignment="1">
      <alignment horizontal="center"/>
    </xf>
    <xf numFmtId="2" fontId="0" fillId="2" borderId="0" xfId="0" applyNumberFormat="1" applyFill="1"/>
    <xf numFmtId="0" fontId="10" fillId="0" borderId="13" xfId="0" applyFont="1" applyBorder="1"/>
    <xf numFmtId="0" fontId="10" fillId="0" borderId="13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2" fontId="10" fillId="0" borderId="13" xfId="0" applyNumberFormat="1" applyFont="1" applyBorder="1" applyAlignment="1">
      <alignment horizontal="center"/>
    </xf>
    <xf numFmtId="0" fontId="28" fillId="0" borderId="9" xfId="0" applyFont="1" applyBorder="1" applyAlignment="1">
      <alignment horizontal="center"/>
    </xf>
    <xf numFmtId="0" fontId="7" fillId="0" borderId="0" xfId="0" applyFont="1" applyAlignment="1">
      <alignment horizontal="right"/>
    </xf>
    <xf numFmtId="2" fontId="0" fillId="0" borderId="9" xfId="0" applyNumberFormat="1" applyBorder="1" applyAlignment="1">
      <alignment horizontal="center"/>
    </xf>
    <xf numFmtId="0" fontId="0" fillId="4" borderId="0" xfId="0" applyFill="1"/>
    <xf numFmtId="0" fontId="4" fillId="0" borderId="25" xfId="0" applyFont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4" fillId="0" borderId="28" xfId="0" applyFont="1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12" fillId="5" borderId="0" xfId="0" applyFont="1" applyFill="1" applyAlignment="1">
      <alignment horizontal="center"/>
    </xf>
    <xf numFmtId="0" fontId="27" fillId="0" borderId="23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27" fillId="0" borderId="22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" fillId="0" borderId="1" xfId="1" applyAlignment="1">
      <alignment horizontal="center"/>
    </xf>
    <xf numFmtId="0" fontId="1" fillId="0" borderId="0" xfId="1" applyBorder="1" applyAlignment="1">
      <alignment horizontal="center"/>
    </xf>
    <xf numFmtId="0" fontId="18" fillId="0" borderId="7" xfId="2" applyFont="1" applyBorder="1" applyAlignment="1">
      <alignment horizontal="center"/>
    </xf>
    <xf numFmtId="0" fontId="18" fillId="0" borderId="8" xfId="2" applyFont="1" applyBorder="1" applyAlignment="1">
      <alignment horizontal="center"/>
    </xf>
    <xf numFmtId="0" fontId="0" fillId="0" borderId="2" xfId="0" applyFill="1" applyBorder="1" applyAlignment="1">
      <alignment horizontal="center"/>
    </xf>
  </cellXfs>
  <cellStyles count="3">
    <cellStyle name="Heading 1" xfId="1" builtinId="16"/>
    <cellStyle name="Normal" xfId="0" builtinId="0"/>
    <cellStyle name="Normal 2" xfId="2" xr:uid="{23FEAB86-92C5-488E-B3E9-10DB77D02B53}"/>
  </cellStyles>
  <dxfs count="8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strike/>
        <color auto="1"/>
      </font>
    </dxf>
    <dxf>
      <font>
        <b/>
        <i val="0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strike/>
        <color auto="1"/>
      </font>
    </dxf>
    <dxf>
      <font>
        <b/>
        <i val="0"/>
      </font>
    </dxf>
    <dxf>
      <font>
        <b/>
        <i val="0"/>
      </font>
    </dxf>
    <dxf>
      <font>
        <strike/>
        <color auto="1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1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'Pts Graph'!$B$5</c:f>
              <c:strCache>
                <c:ptCount val="1"/>
                <c:pt idx="0">
                  <c:v>Points Scored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'Pts Graph'!$C$5:$P$5</c:f>
              <c:numCache>
                <c:formatCode>0.00</c:formatCode>
                <c:ptCount val="14"/>
                <c:pt idx="0">
                  <c:v>124.89</c:v>
                </c:pt>
                <c:pt idx="1">
                  <c:v>117.99</c:v>
                </c:pt>
                <c:pt idx="2">
                  <c:v>117.22</c:v>
                </c:pt>
                <c:pt idx="3">
                  <c:v>146.76</c:v>
                </c:pt>
                <c:pt idx="4">
                  <c:v>137.22</c:v>
                </c:pt>
                <c:pt idx="5">
                  <c:v>123</c:v>
                </c:pt>
                <c:pt idx="6">
                  <c:v>111.53</c:v>
                </c:pt>
                <c:pt idx="7">
                  <c:v>156.52000000000001</c:v>
                </c:pt>
                <c:pt idx="8">
                  <c:v>142.94</c:v>
                </c:pt>
                <c:pt idx="9">
                  <c:v>111.37</c:v>
                </c:pt>
                <c:pt idx="10">
                  <c:v>142.21</c:v>
                </c:pt>
                <c:pt idx="11">
                  <c:v>161.09</c:v>
                </c:pt>
                <c:pt idx="12">
                  <c:v>100.22</c:v>
                </c:pt>
                <c:pt idx="13">
                  <c:v>161.16999999999999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83-4B29-A85A-12972C7C6592}"/>
            </c:ext>
          </c:extLst>
        </c:ser>
        <c:ser>
          <c:idx val="1"/>
          <c:order val="1"/>
          <c:tx>
            <c:strRef>
              <c:f>'Pts Graph'!$B$6</c:f>
              <c:strCache>
                <c:ptCount val="1"/>
                <c:pt idx="0">
                  <c:v>Median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'Pts Graph'!$C$6:$P$6</c:f>
              <c:numCache>
                <c:formatCode>0.00</c:formatCode>
                <c:ptCount val="14"/>
                <c:pt idx="0">
                  <c:v>119.28</c:v>
                </c:pt>
                <c:pt idx="1">
                  <c:v>119.32</c:v>
                </c:pt>
                <c:pt idx="2">
                  <c:v>121.96</c:v>
                </c:pt>
                <c:pt idx="3">
                  <c:v>129.44999999999999</c:v>
                </c:pt>
                <c:pt idx="4">
                  <c:v>137.22</c:v>
                </c:pt>
                <c:pt idx="5">
                  <c:v>123</c:v>
                </c:pt>
                <c:pt idx="6">
                  <c:v>145.03</c:v>
                </c:pt>
                <c:pt idx="7">
                  <c:v>122.9</c:v>
                </c:pt>
                <c:pt idx="8">
                  <c:v>134.54</c:v>
                </c:pt>
                <c:pt idx="9">
                  <c:v>125.67</c:v>
                </c:pt>
                <c:pt idx="10">
                  <c:v>120.87</c:v>
                </c:pt>
                <c:pt idx="11">
                  <c:v>122.31</c:v>
                </c:pt>
                <c:pt idx="12">
                  <c:v>118.9</c:v>
                </c:pt>
                <c:pt idx="13">
                  <c:v>117.93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83-4B29-A85A-12972C7C65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7222352"/>
        <c:axId val="1177221392"/>
      </c:lineChart>
      <c:catAx>
        <c:axId val="11772223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7221392"/>
        <c:crosses val="autoZero"/>
        <c:auto val="1"/>
        <c:lblAlgn val="ctr"/>
        <c:lblOffset val="100"/>
        <c:noMultiLvlLbl val="0"/>
      </c:catAx>
      <c:valAx>
        <c:axId val="1177221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7222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924977640601152"/>
          <c:y val="0.85236358078386698"/>
          <c:w val="0.11847850867193939"/>
          <c:h val="8.0285998781740503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Ranking!$A$18</c:f>
              <c:strCache>
                <c:ptCount val="1"/>
                <c:pt idx="0">
                  <c:v>Jafar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Ranking!$B$17:$O$17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Ranking!$B$18:$O$18</c:f>
              <c:numCache>
                <c:formatCode>General</c:formatCode>
                <c:ptCount val="14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EB-48C3-A5A5-2FC4D2C89D4C}"/>
            </c:ext>
          </c:extLst>
        </c:ser>
        <c:ser>
          <c:idx val="1"/>
          <c:order val="1"/>
          <c:tx>
            <c:strRef>
              <c:f>Ranking!$A$19</c:f>
              <c:strCache>
                <c:ptCount val="1"/>
                <c:pt idx="0">
                  <c:v>The Goob Troop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Ranking!$B$17:$O$17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Ranking!$B$19:$O$19</c:f>
              <c:numCache>
                <c:formatCode>General</c:formatCode>
                <c:ptCount val="14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EB-48C3-A5A5-2FC4D2C89D4C}"/>
            </c:ext>
          </c:extLst>
        </c:ser>
        <c:ser>
          <c:idx val="2"/>
          <c:order val="2"/>
          <c:tx>
            <c:strRef>
              <c:f>Ranking!$A$20</c:f>
              <c:strCache>
                <c:ptCount val="1"/>
                <c:pt idx="0">
                  <c:v>Herbie's Honkers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Ranking!$B$17:$O$17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Ranking!$B$20:$O$20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EB-48C3-A5A5-2FC4D2C89D4C}"/>
            </c:ext>
          </c:extLst>
        </c:ser>
        <c:ser>
          <c:idx val="3"/>
          <c:order val="3"/>
          <c:tx>
            <c:strRef>
              <c:f>Ranking!$A$21</c:f>
              <c:strCache>
                <c:ptCount val="1"/>
                <c:pt idx="0">
                  <c:v>Stupid Smartass Psycho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Ranking!$B$17:$O$17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Ranking!$B$21:$O$21</c:f>
              <c:numCache>
                <c:formatCode>General</c:formatCode>
                <c:ptCount val="1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EB-48C3-A5A5-2FC4D2C89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7871792"/>
        <c:axId val="331890992"/>
      </c:lineChart>
      <c:catAx>
        <c:axId val="547871792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1890992"/>
        <c:crosses val="autoZero"/>
        <c:auto val="1"/>
        <c:lblAlgn val="ctr"/>
        <c:lblOffset val="100"/>
        <c:noMultiLvlLbl val="0"/>
      </c:catAx>
      <c:valAx>
        <c:axId val="331890992"/>
        <c:scaling>
          <c:orientation val="maxMin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78717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Ranking!$A$23</c:f>
              <c:strCache>
                <c:ptCount val="1"/>
                <c:pt idx="0">
                  <c:v>SqueakSqueakinSqueakSqueakity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Ranking!$B$17:$O$17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Ranking!$B$23:$O$23</c:f>
              <c:numCache>
                <c:formatCode>General</c:formatCode>
                <c:ptCount val="14"/>
                <c:pt idx="0">
                  <c:v>1</c:v>
                </c:pt>
                <c:pt idx="1">
                  <c:v>3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4A-443C-B082-B8264196E823}"/>
            </c:ext>
          </c:extLst>
        </c:ser>
        <c:ser>
          <c:idx val="1"/>
          <c:order val="1"/>
          <c:tx>
            <c:strRef>
              <c:f>Ranking!$A$24</c:f>
              <c:strCache>
                <c:ptCount val="1"/>
                <c:pt idx="0">
                  <c:v>We're all mad here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Ranking!$B$17:$O$17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Ranking!$B$24:$O$24</c:f>
              <c:numCache>
                <c:formatCode>General</c:formatCode>
                <c:ptCount val="14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4A-443C-B082-B8264196E823}"/>
            </c:ext>
          </c:extLst>
        </c:ser>
        <c:ser>
          <c:idx val="2"/>
          <c:order val="2"/>
          <c:tx>
            <c:strRef>
              <c:f>Ranking!$A$25</c:f>
              <c:strCache>
                <c:ptCount val="1"/>
                <c:pt idx="0">
                  <c:v>Tick Tock the Crocodile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Ranking!$B$17:$O$17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Ranking!$B$25:$O$25</c:f>
              <c:numCache>
                <c:formatCode>General</c:formatCode>
                <c:ptCount val="14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4A-443C-B082-B8264196E823}"/>
            </c:ext>
          </c:extLst>
        </c:ser>
        <c:ser>
          <c:idx val="3"/>
          <c:order val="3"/>
          <c:tx>
            <c:strRef>
              <c:f>Ranking!$A$26</c:f>
              <c:strCache>
                <c:ptCount val="1"/>
                <c:pt idx="0">
                  <c:v>Aladdin Jazerra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Ranking!$B$17:$O$17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Ranking!$B$26:$O$26</c:f>
              <c:numCache>
                <c:formatCode>General</c:formatCode>
                <c:ptCount val="14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3</c:v>
                </c:pt>
                <c:pt idx="10">
                  <c:v>4</c:v>
                </c:pt>
                <c:pt idx="11">
                  <c:v>3</c:v>
                </c:pt>
                <c:pt idx="12">
                  <c:v>4</c:v>
                </c:pt>
                <c:pt idx="1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4A-443C-B082-B8264196E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7871792"/>
        <c:axId val="331890992"/>
      </c:lineChart>
      <c:catAx>
        <c:axId val="547871792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1890992"/>
        <c:crosses val="autoZero"/>
        <c:auto val="1"/>
        <c:lblAlgn val="ctr"/>
        <c:lblOffset val="100"/>
        <c:noMultiLvlLbl val="0"/>
      </c:catAx>
      <c:valAx>
        <c:axId val="331890992"/>
        <c:scaling>
          <c:orientation val="maxMin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78717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Ranking!$A$28</c:f>
              <c:strCache>
                <c:ptCount val="1"/>
                <c:pt idx="0">
                  <c:v>Prince Abooboo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Ranking!$B$17:$O$17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Ranking!$B$28:$O$28</c:f>
              <c:numCache>
                <c:formatCode>General</c:formatCode>
                <c:ptCount val="14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42-4B81-9864-9CC91E2CD67E}"/>
            </c:ext>
          </c:extLst>
        </c:ser>
        <c:ser>
          <c:idx val="1"/>
          <c:order val="1"/>
          <c:tx>
            <c:strRef>
              <c:f>Ranking!$A$29</c:f>
              <c:strCache>
                <c:ptCount val="1"/>
                <c:pt idx="0">
                  <c:v>Wrong Lever!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Ranking!$B$17:$O$17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Ranking!$B$29:$O$29</c:f>
              <c:numCache>
                <c:formatCode>General</c:formatCode>
                <c:ptCount val="14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42-4B81-9864-9CC91E2CD67E}"/>
            </c:ext>
          </c:extLst>
        </c:ser>
        <c:ser>
          <c:idx val="2"/>
          <c:order val="2"/>
          <c:tx>
            <c:strRef>
              <c:f>Ranking!$A$30</c:f>
              <c:strCache>
                <c:ptCount val="1"/>
                <c:pt idx="0">
                  <c:v>5 Dozen Eggs by Gaston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Ranking!$B$17:$O$17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Ranking!$B$30:$O$30</c:f>
              <c:numCache>
                <c:formatCode>General</c:formatCode>
                <c:ptCount val="1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42-4B81-9864-9CC91E2CD67E}"/>
            </c:ext>
          </c:extLst>
        </c:ser>
        <c:ser>
          <c:idx val="3"/>
          <c:order val="3"/>
          <c:tx>
            <c:strRef>
              <c:f>Ranking!$A$31</c:f>
              <c:strCache>
                <c:ptCount val="1"/>
                <c:pt idx="0">
                  <c:v>The Rescuers vs Medusa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Ranking!$B$17:$O$17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Ranking!$B$31:$O$31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42-4B81-9864-9CC91E2CD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7871792"/>
        <c:axId val="331890992"/>
      </c:lineChart>
      <c:catAx>
        <c:axId val="547871792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1890992"/>
        <c:crosses val="autoZero"/>
        <c:auto val="1"/>
        <c:lblAlgn val="ctr"/>
        <c:lblOffset val="100"/>
        <c:noMultiLvlLbl val="0"/>
      </c:catAx>
      <c:valAx>
        <c:axId val="331890992"/>
        <c:scaling>
          <c:orientation val="maxMin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78717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691995384003702E-2"/>
          <c:y val="6.5544819613337177E-2"/>
          <c:w val="0.69689086639943087"/>
          <c:h val="0.79622551922100659"/>
        </c:manualLayout>
      </c:layout>
      <c:lineChart>
        <c:grouping val="standard"/>
        <c:varyColors val="0"/>
        <c:ser>
          <c:idx val="0"/>
          <c:order val="0"/>
          <c:tx>
            <c:strRef>
              <c:f>Ranking!$A$3</c:f>
              <c:strCache>
                <c:ptCount val="1"/>
                <c:pt idx="0">
                  <c:v>Jafar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0">
                <a:solidFill>
                  <a:schemeClr val="accent1"/>
                </a:solidFill>
              </a:ln>
              <a:effectLst/>
            </c:spPr>
          </c:marker>
          <c:cat>
            <c:numRef>
              <c:f>Ranking!$B$2:$O$2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Ranking!$B$3:$O$3</c:f>
              <c:numCache>
                <c:formatCode>General</c:formatCode>
                <c:ptCount val="14"/>
                <c:pt idx="0">
                  <c:v>7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E-4486-82DF-81E6FF2CF8DB}"/>
            </c:ext>
          </c:extLst>
        </c:ser>
        <c:ser>
          <c:idx val="1"/>
          <c:order val="1"/>
          <c:tx>
            <c:strRef>
              <c:f>Ranking!$A$4</c:f>
              <c:strCache>
                <c:ptCount val="1"/>
                <c:pt idx="0">
                  <c:v>The Goob Troop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0">
                <a:solidFill>
                  <a:schemeClr val="accent2"/>
                </a:solidFill>
              </a:ln>
              <a:effectLst/>
            </c:spPr>
          </c:marker>
          <c:cat>
            <c:numRef>
              <c:f>Ranking!$B$2:$O$2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Ranking!$B$4:$O$4</c:f>
              <c:numCache>
                <c:formatCode>General</c:formatCode>
                <c:ptCount val="14"/>
                <c:pt idx="0">
                  <c:v>12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11</c:v>
                </c:pt>
                <c:pt idx="5">
                  <c:v>11</c:v>
                </c:pt>
                <c:pt idx="6">
                  <c:v>10</c:v>
                </c:pt>
                <c:pt idx="7">
                  <c:v>11</c:v>
                </c:pt>
                <c:pt idx="8">
                  <c:v>11</c:v>
                </c:pt>
                <c:pt idx="9">
                  <c:v>10</c:v>
                </c:pt>
                <c:pt idx="10">
                  <c:v>11</c:v>
                </c:pt>
                <c:pt idx="11">
                  <c:v>11</c:v>
                </c:pt>
                <c:pt idx="12">
                  <c:v>11</c:v>
                </c:pt>
                <c:pt idx="13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7E-4486-82DF-81E6FF2CF8DB}"/>
            </c:ext>
          </c:extLst>
        </c:ser>
        <c:ser>
          <c:idx val="2"/>
          <c:order val="2"/>
          <c:tx>
            <c:strRef>
              <c:f>Ranking!$A$5</c:f>
              <c:strCache>
                <c:ptCount val="1"/>
                <c:pt idx="0">
                  <c:v>Herbie's Honkers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0">
                <a:solidFill>
                  <a:schemeClr val="accent3"/>
                </a:solidFill>
              </a:ln>
              <a:effectLst/>
            </c:spPr>
          </c:marker>
          <c:cat>
            <c:numRef>
              <c:f>Ranking!$B$2:$O$2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Ranking!$B$5:$O$5</c:f>
              <c:numCache>
                <c:formatCode>General</c:formatCode>
                <c:ptCount val="14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4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7E-4486-82DF-81E6FF2CF8DB}"/>
            </c:ext>
          </c:extLst>
        </c:ser>
        <c:ser>
          <c:idx val="3"/>
          <c:order val="3"/>
          <c:tx>
            <c:strRef>
              <c:f>Ranking!$A$6</c:f>
              <c:strCache>
                <c:ptCount val="1"/>
                <c:pt idx="0">
                  <c:v>Stupid Smartass Psycho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0">
                <a:solidFill>
                  <a:schemeClr val="accent4"/>
                </a:solidFill>
              </a:ln>
              <a:effectLst/>
            </c:spPr>
          </c:marker>
          <c:cat>
            <c:numRef>
              <c:f>Ranking!$B$2:$O$2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Ranking!$B$6:$O$6</c:f>
              <c:numCache>
                <c:formatCode>General</c:formatCode>
                <c:ptCount val="14"/>
                <c:pt idx="0">
                  <c:v>8</c:v>
                </c:pt>
                <c:pt idx="1">
                  <c:v>6</c:v>
                </c:pt>
                <c:pt idx="2">
                  <c:v>7</c:v>
                </c:pt>
                <c:pt idx="3">
                  <c:v>6</c:v>
                </c:pt>
                <c:pt idx="4">
                  <c:v>7</c:v>
                </c:pt>
                <c:pt idx="5">
                  <c:v>6</c:v>
                </c:pt>
                <c:pt idx="6">
                  <c:v>7</c:v>
                </c:pt>
                <c:pt idx="7">
                  <c:v>5</c:v>
                </c:pt>
                <c:pt idx="8">
                  <c:v>5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7E-4486-82DF-81E6FF2CF8DB}"/>
            </c:ext>
          </c:extLst>
        </c:ser>
        <c:ser>
          <c:idx val="4"/>
          <c:order val="4"/>
          <c:tx>
            <c:strRef>
              <c:f>Ranking!$A$7</c:f>
              <c:strCache>
                <c:ptCount val="1"/>
                <c:pt idx="0">
                  <c:v>SqueakSqueakinSqueakSqueakity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0">
                <a:solidFill>
                  <a:schemeClr val="accent5"/>
                </a:solidFill>
              </a:ln>
              <a:effectLst/>
            </c:spPr>
          </c:marker>
          <c:cat>
            <c:numRef>
              <c:f>Ranking!$B$2:$O$2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Ranking!$B$7:$O$7</c:f>
              <c:numCache>
                <c:formatCode>General</c:formatCode>
                <c:ptCount val="14"/>
                <c:pt idx="0">
                  <c:v>5</c:v>
                </c:pt>
                <c:pt idx="1">
                  <c:v>10</c:v>
                </c:pt>
                <c:pt idx="2">
                  <c:v>9</c:v>
                </c:pt>
                <c:pt idx="3">
                  <c:v>5</c:v>
                </c:pt>
                <c:pt idx="4">
                  <c:v>5</c:v>
                </c:pt>
                <c:pt idx="5">
                  <c:v>4</c:v>
                </c:pt>
                <c:pt idx="6">
                  <c:v>5</c:v>
                </c:pt>
                <c:pt idx="7">
                  <c:v>4</c:v>
                </c:pt>
                <c:pt idx="8">
                  <c:v>4</c:v>
                </c:pt>
                <c:pt idx="9">
                  <c:v>5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7E-4486-82DF-81E6FF2CF8DB}"/>
            </c:ext>
          </c:extLst>
        </c:ser>
        <c:ser>
          <c:idx val="5"/>
          <c:order val="5"/>
          <c:tx>
            <c:strRef>
              <c:f>Ranking!$A$8</c:f>
              <c:strCache>
                <c:ptCount val="1"/>
                <c:pt idx="0">
                  <c:v>We're all mad here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0">
                <a:solidFill>
                  <a:schemeClr val="accent6"/>
                </a:solidFill>
              </a:ln>
              <a:effectLst/>
            </c:spPr>
          </c:marker>
          <c:cat>
            <c:numRef>
              <c:f>Ranking!$B$2:$O$2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Ranking!$B$8:$O$8</c:f>
              <c:numCache>
                <c:formatCode>General</c:formatCode>
                <c:ptCount val="14"/>
                <c:pt idx="0">
                  <c:v>9</c:v>
                </c:pt>
                <c:pt idx="1">
                  <c:v>7</c:v>
                </c:pt>
                <c:pt idx="2">
                  <c:v>4</c:v>
                </c:pt>
                <c:pt idx="3">
                  <c:v>8</c:v>
                </c:pt>
                <c:pt idx="4">
                  <c:v>6</c:v>
                </c:pt>
                <c:pt idx="5">
                  <c:v>7</c:v>
                </c:pt>
                <c:pt idx="6">
                  <c:v>6</c:v>
                </c:pt>
                <c:pt idx="7">
                  <c:v>8</c:v>
                </c:pt>
                <c:pt idx="8">
                  <c:v>8</c:v>
                </c:pt>
                <c:pt idx="9">
                  <c:v>7</c:v>
                </c:pt>
                <c:pt idx="10">
                  <c:v>8</c:v>
                </c:pt>
                <c:pt idx="11">
                  <c:v>8</c:v>
                </c:pt>
                <c:pt idx="12">
                  <c:v>7</c:v>
                </c:pt>
                <c:pt idx="13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47E-4486-82DF-81E6FF2CF8DB}"/>
            </c:ext>
          </c:extLst>
        </c:ser>
        <c:ser>
          <c:idx val="6"/>
          <c:order val="6"/>
          <c:tx>
            <c:strRef>
              <c:f>Ranking!$A$9</c:f>
              <c:strCache>
                <c:ptCount val="1"/>
                <c:pt idx="0">
                  <c:v>Tick Tock the Crocodile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0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Ranking!$B$2:$O$2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Ranking!$B$9:$O$9</c:f>
              <c:numCache>
                <c:formatCode>General</c:formatCode>
                <c:ptCount val="14"/>
                <c:pt idx="0">
                  <c:v>6</c:v>
                </c:pt>
                <c:pt idx="1">
                  <c:v>3</c:v>
                </c:pt>
                <c:pt idx="2">
                  <c:v>8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11</c:v>
                </c:pt>
                <c:pt idx="10">
                  <c:v>9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47E-4486-82DF-81E6FF2CF8DB}"/>
            </c:ext>
          </c:extLst>
        </c:ser>
        <c:ser>
          <c:idx val="7"/>
          <c:order val="7"/>
          <c:tx>
            <c:strRef>
              <c:f>Ranking!$A$10</c:f>
              <c:strCache>
                <c:ptCount val="1"/>
                <c:pt idx="0">
                  <c:v>Aladdin Jazerra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0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Ranking!$B$2:$O$2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Ranking!$B$10:$O$10</c:f>
              <c:numCache>
                <c:formatCode>General</c:formatCode>
                <c:ptCount val="14"/>
                <c:pt idx="0">
                  <c:v>10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10</c:v>
                </c:pt>
                <c:pt idx="5">
                  <c:v>10</c:v>
                </c:pt>
                <c:pt idx="6">
                  <c:v>11</c:v>
                </c:pt>
                <c:pt idx="7">
                  <c:v>10</c:v>
                </c:pt>
                <c:pt idx="8">
                  <c:v>10</c:v>
                </c:pt>
                <c:pt idx="9">
                  <c:v>9</c:v>
                </c:pt>
                <c:pt idx="10">
                  <c:v>10</c:v>
                </c:pt>
                <c:pt idx="11">
                  <c:v>9</c:v>
                </c:pt>
                <c:pt idx="12">
                  <c:v>10</c:v>
                </c:pt>
                <c:pt idx="13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47E-4486-82DF-81E6FF2CF8DB}"/>
            </c:ext>
          </c:extLst>
        </c:ser>
        <c:ser>
          <c:idx val="8"/>
          <c:order val="8"/>
          <c:tx>
            <c:strRef>
              <c:f>Ranking!$A$11</c:f>
              <c:strCache>
                <c:ptCount val="1"/>
                <c:pt idx="0">
                  <c:v>Prince Abooboo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0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Ranking!$B$2:$O$2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Ranking!$B$11:$O$11</c:f>
              <c:numCache>
                <c:formatCode>General</c:formatCode>
                <c:ptCount val="14"/>
                <c:pt idx="0">
                  <c:v>3</c:v>
                </c:pt>
                <c:pt idx="1">
                  <c:v>5</c:v>
                </c:pt>
                <c:pt idx="2">
                  <c:v>5</c:v>
                </c:pt>
                <c:pt idx="3">
                  <c:v>3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47E-4486-82DF-81E6FF2CF8DB}"/>
            </c:ext>
          </c:extLst>
        </c:ser>
        <c:ser>
          <c:idx val="9"/>
          <c:order val="9"/>
          <c:tx>
            <c:strRef>
              <c:f>Ranking!$A$12</c:f>
              <c:strCache>
                <c:ptCount val="1"/>
                <c:pt idx="0">
                  <c:v>Wrong Lever!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0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Ranking!$B$2:$O$2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Ranking!$B$12:$O$12</c:f>
              <c:numCache>
                <c:formatCode>General</c:formatCode>
                <c:ptCount val="14"/>
                <c:pt idx="0">
                  <c:v>11</c:v>
                </c:pt>
                <c:pt idx="1">
                  <c:v>11</c:v>
                </c:pt>
                <c:pt idx="2">
                  <c:v>11</c:v>
                </c:pt>
                <c:pt idx="3">
                  <c:v>10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47E-4486-82DF-81E6FF2CF8DB}"/>
            </c:ext>
          </c:extLst>
        </c:ser>
        <c:ser>
          <c:idx val="10"/>
          <c:order val="10"/>
          <c:tx>
            <c:strRef>
              <c:f>Ranking!$A$13</c:f>
              <c:strCache>
                <c:ptCount val="1"/>
                <c:pt idx="0">
                  <c:v>5 Dozen Eggs by Gaston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</a:schemeClr>
              </a:solidFill>
              <a:ln w="0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Ranking!$B$2:$O$2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Ranking!$B$13:$O$13</c:f>
              <c:numCache>
                <c:formatCode>General</c:formatCode>
                <c:ptCount val="14"/>
                <c:pt idx="0">
                  <c:v>4</c:v>
                </c:pt>
                <c:pt idx="1">
                  <c:v>8</c:v>
                </c:pt>
                <c:pt idx="2">
                  <c:v>6</c:v>
                </c:pt>
                <c:pt idx="3">
                  <c:v>9</c:v>
                </c:pt>
                <c:pt idx="4">
                  <c:v>9</c:v>
                </c:pt>
                <c:pt idx="5">
                  <c:v>8</c:v>
                </c:pt>
                <c:pt idx="6">
                  <c:v>8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7</c:v>
                </c:pt>
                <c:pt idx="11">
                  <c:v>7</c:v>
                </c:pt>
                <c:pt idx="12">
                  <c:v>8</c:v>
                </c:pt>
                <c:pt idx="13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47E-4486-82DF-81E6FF2CF8DB}"/>
            </c:ext>
          </c:extLst>
        </c:ser>
        <c:ser>
          <c:idx val="11"/>
          <c:order val="11"/>
          <c:tx>
            <c:strRef>
              <c:f>Ranking!$A$14</c:f>
              <c:strCache>
                <c:ptCount val="1"/>
                <c:pt idx="0">
                  <c:v>The Rescuers vs Medusa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</a:schemeClr>
              </a:solidFill>
              <a:ln w="0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cat>
            <c:numRef>
              <c:f>Ranking!$B$2:$O$2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Ranking!$B$14:$O$14</c:f>
              <c:numCache>
                <c:formatCode>General</c:formatCode>
                <c:ptCount val="1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4</c:v>
                </c:pt>
                <c:pt idx="1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47E-4486-82DF-81E6FF2CF8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1320704"/>
        <c:axId val="881321184"/>
      </c:lineChart>
      <c:catAx>
        <c:axId val="881320704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1321184"/>
        <c:crosses val="autoZero"/>
        <c:auto val="1"/>
        <c:lblAlgn val="ctr"/>
        <c:lblOffset val="100"/>
        <c:noMultiLvlLbl val="0"/>
      </c:catAx>
      <c:valAx>
        <c:axId val="881321184"/>
        <c:scaling>
          <c:orientation val="maxMin"/>
          <c:max val="13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132070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626707283323059"/>
          <c:y val="0.11258929719250471"/>
          <c:w val="0.2305750326916674"/>
          <c:h val="0.774821405614990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00" b="0" i="0" u="none" strike="noStrike" kern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E1E7C94-7CD5-4B4F-AC8C-92D4206BD04F}">
  <sheetPr>
    <tabColor rgb="FF92D050"/>
  </sheetPr>
  <sheetViews>
    <sheetView zoomScale="32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6</xdr:row>
      <xdr:rowOff>109536</xdr:rowOff>
    </xdr:from>
    <xdr:to>
      <xdr:col>16</xdr:col>
      <xdr:colOff>28575</xdr:colOff>
      <xdr:row>34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99865B5-EB7A-4C18-B017-F42E17131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</xdr:colOff>
      <xdr:row>32</xdr:row>
      <xdr:rowOff>17145</xdr:rowOff>
    </xdr:from>
    <xdr:to>
      <xdr:col>4</xdr:col>
      <xdr:colOff>281940</xdr:colOff>
      <xdr:row>47</xdr:row>
      <xdr:rowOff>17145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896BAE4-D1D4-36FF-DF18-3167C5DDF6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320040</xdr:colOff>
      <xdr:row>32</xdr:row>
      <xdr:rowOff>19050</xdr:rowOff>
    </xdr:from>
    <xdr:to>
      <xdr:col>11</xdr:col>
      <xdr:colOff>251460</xdr:colOff>
      <xdr:row>47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14C9317-83F2-4949-9239-501F18F8DB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297180</xdr:colOff>
      <xdr:row>32</xdr:row>
      <xdr:rowOff>22860</xdr:rowOff>
    </xdr:from>
    <xdr:to>
      <xdr:col>18</xdr:col>
      <xdr:colOff>297180</xdr:colOff>
      <xdr:row>47</xdr:row>
      <xdr:rowOff>22860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56AD8DC-FF2C-49EA-86D6-338A23E4BE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4019826" cy="21286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C111D3C-6B05-3D3F-23F8-009F815EB9F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59132-0855-4D61-8CD0-34F3E89AE03E}">
  <sheetPr>
    <tabColor theme="0" tint="-0.499984740745262"/>
  </sheetPr>
  <dimension ref="B1:U30"/>
  <sheetViews>
    <sheetView showGridLines="0" workbookViewId="0">
      <selection activeCell="I21" sqref="I21"/>
    </sheetView>
  </sheetViews>
  <sheetFormatPr defaultColWidth="9.140625" defaultRowHeight="15" x14ac:dyDescent="0.25"/>
  <cols>
    <col min="1" max="1" width="9.140625" style="85"/>
    <col min="2" max="2" width="3.5703125" style="85" customWidth="1"/>
    <col min="3" max="16384" width="9.140625" style="85"/>
  </cols>
  <sheetData>
    <row r="1" spans="2:21" ht="15.75" thickBot="1" x14ac:dyDescent="0.3"/>
    <row r="2" spans="2:21" ht="11.25" customHeight="1" x14ac:dyDescent="0.25">
      <c r="B2" s="86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8"/>
    </row>
    <row r="3" spans="2:21" x14ac:dyDescent="0.25">
      <c r="B3" s="89"/>
      <c r="C3" s="5" t="s">
        <v>98</v>
      </c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 s="90"/>
    </row>
    <row r="4" spans="2:21" x14ac:dyDescent="0.25">
      <c r="B4" s="89"/>
      <c r="C4" t="s">
        <v>96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 s="90"/>
    </row>
    <row r="5" spans="2:21" x14ac:dyDescent="0.25">
      <c r="B5" s="91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90"/>
    </row>
    <row r="6" spans="2:21" x14ac:dyDescent="0.25">
      <c r="B6" s="89"/>
      <c r="C6" s="5" t="s">
        <v>99</v>
      </c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 s="90"/>
    </row>
    <row r="7" spans="2:21" x14ac:dyDescent="0.25">
      <c r="B7" s="89"/>
      <c r="C7" t="s">
        <v>95</v>
      </c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 s="90"/>
    </row>
    <row r="8" spans="2:21" x14ac:dyDescent="0.25">
      <c r="B8" s="91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 s="90"/>
    </row>
    <row r="9" spans="2:21" x14ac:dyDescent="0.25">
      <c r="B9" s="89"/>
      <c r="C9" s="5" t="s">
        <v>100</v>
      </c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 s="90"/>
    </row>
    <row r="10" spans="2:21" x14ac:dyDescent="0.25">
      <c r="B10" s="89"/>
      <c r="C10" t="s">
        <v>97</v>
      </c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 s="90"/>
    </row>
    <row r="11" spans="2:21" x14ac:dyDescent="0.25">
      <c r="B11" s="9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 s="90"/>
    </row>
    <row r="12" spans="2:21" x14ac:dyDescent="0.25">
      <c r="B12" s="89"/>
      <c r="C12" s="5" t="s">
        <v>101</v>
      </c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 s="90"/>
    </row>
    <row r="13" spans="2:21" x14ac:dyDescent="0.25">
      <c r="B13" s="89"/>
      <c r="C13" t="s">
        <v>102</v>
      </c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 s="90"/>
    </row>
    <row r="14" spans="2:21" x14ac:dyDescent="0.25">
      <c r="B14" s="89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 s="90"/>
    </row>
    <row r="15" spans="2:21" x14ac:dyDescent="0.25">
      <c r="B15" s="89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 s="90"/>
    </row>
    <row r="16" spans="2:21" x14ac:dyDescent="0.25">
      <c r="B16" s="89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 s="90"/>
    </row>
    <row r="17" spans="2:21" x14ac:dyDescent="0.25">
      <c r="B17" s="89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 s="90"/>
    </row>
    <row r="18" spans="2:21" x14ac:dyDescent="0.25">
      <c r="B18" s="89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 s="90"/>
    </row>
    <row r="19" spans="2:21" x14ac:dyDescent="0.25">
      <c r="B19" s="8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 s="90"/>
    </row>
    <row r="20" spans="2:21" x14ac:dyDescent="0.25">
      <c r="B20" s="89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 s="90"/>
    </row>
    <row r="21" spans="2:21" x14ac:dyDescent="0.25">
      <c r="B21" s="89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 s="90"/>
    </row>
    <row r="22" spans="2:21" x14ac:dyDescent="0.25">
      <c r="B22" s="89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 s="90"/>
    </row>
    <row r="23" spans="2:21" x14ac:dyDescent="0.25">
      <c r="B23" s="89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 s="90"/>
    </row>
    <row r="24" spans="2:21" x14ac:dyDescent="0.25">
      <c r="B24" s="89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 s="90"/>
    </row>
    <row r="25" spans="2:21" x14ac:dyDescent="0.25">
      <c r="B25" s="89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 s="90"/>
    </row>
    <row r="26" spans="2:21" x14ac:dyDescent="0.25">
      <c r="B26" s="89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 s="90"/>
    </row>
    <row r="27" spans="2:21" x14ac:dyDescent="0.25">
      <c r="B27" s="89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 s="90"/>
    </row>
    <row r="28" spans="2:21" x14ac:dyDescent="0.25">
      <c r="B28" s="89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 s="90"/>
    </row>
    <row r="29" spans="2:21" x14ac:dyDescent="0.25">
      <c r="B29" s="8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 s="90"/>
    </row>
    <row r="30" spans="2:21" ht="15.75" thickBot="1" x14ac:dyDescent="0.3">
      <c r="B30" s="92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C8A02-93D2-49CB-A3BC-FC2DE83A8059}">
  <sheetPr>
    <tabColor theme="1"/>
  </sheetPr>
  <dimension ref="A1:U67"/>
  <sheetViews>
    <sheetView workbookViewId="0">
      <selection activeCell="U23" sqref="U23"/>
    </sheetView>
  </sheetViews>
  <sheetFormatPr defaultRowHeight="15" x14ac:dyDescent="0.25"/>
  <cols>
    <col min="6" max="6" width="8.85546875" style="1"/>
    <col min="7" max="7" width="8.85546875" style="2"/>
    <col min="8" max="8" width="8.85546875" style="3"/>
    <col min="9" max="9" width="8.85546875" style="2"/>
    <col min="15" max="15" width="3.140625" customWidth="1"/>
    <col min="16" max="16" width="32.28515625" style="2" bestFit="1" customWidth="1"/>
    <col min="18" max="18" width="3.140625" customWidth="1"/>
    <col min="19" max="21" width="9.140625" style="36"/>
  </cols>
  <sheetData>
    <row r="1" spans="1:21" ht="15.75" thickBot="1" x14ac:dyDescent="0.3">
      <c r="A1" s="5" t="s">
        <v>4</v>
      </c>
      <c r="B1" s="5" t="s">
        <v>5</v>
      </c>
      <c r="C1" s="5" t="s">
        <v>6</v>
      </c>
      <c r="D1" s="5" t="s">
        <v>7</v>
      </c>
      <c r="E1" s="5" t="s">
        <v>8</v>
      </c>
      <c r="F1" s="5" t="s">
        <v>9</v>
      </c>
      <c r="G1" s="5" t="s">
        <v>10</v>
      </c>
      <c r="H1" s="5" t="s">
        <v>11</v>
      </c>
      <c r="I1" s="5" t="s">
        <v>12</v>
      </c>
      <c r="J1" s="5" t="s">
        <v>13</v>
      </c>
      <c r="K1" s="5" t="s">
        <v>14</v>
      </c>
      <c r="L1" s="5" t="s">
        <v>15</v>
      </c>
      <c r="M1" s="5" t="s">
        <v>16</v>
      </c>
      <c r="N1" s="5" t="s">
        <v>17</v>
      </c>
      <c r="R1" s="5"/>
      <c r="S1" s="64" t="s">
        <v>68</v>
      </c>
      <c r="T1" s="64" t="s">
        <v>69</v>
      </c>
      <c r="U1" s="64" t="s">
        <v>70</v>
      </c>
    </row>
    <row r="2" spans="1:21" ht="15.75" thickTop="1" x14ac:dyDescent="0.25">
      <c r="A2" t="s">
        <v>107</v>
      </c>
      <c r="B2" t="s">
        <v>107</v>
      </c>
      <c r="C2" t="s">
        <v>107</v>
      </c>
      <c r="D2" t="s">
        <v>107</v>
      </c>
      <c r="E2" t="s">
        <v>107</v>
      </c>
      <c r="F2" s="1" t="s">
        <v>107</v>
      </c>
      <c r="G2" s="2" t="s">
        <v>107</v>
      </c>
      <c r="H2" t="s">
        <v>107</v>
      </c>
      <c r="I2" s="2" t="s">
        <v>107</v>
      </c>
      <c r="J2" t="s">
        <v>107</v>
      </c>
      <c r="K2" t="s">
        <v>107</v>
      </c>
      <c r="L2" t="s">
        <v>107</v>
      </c>
      <c r="M2" t="s">
        <v>107</v>
      </c>
      <c r="N2" t="s">
        <v>107</v>
      </c>
      <c r="P2" s="13" t="s">
        <v>29</v>
      </c>
      <c r="Q2" s="13" t="s">
        <v>55</v>
      </c>
      <c r="S2" s="65" t="str">
        <f>IF($N$2="","",VLOOKUP(3,Calculations!$N$3:$Q$14,4,FALSE))</f>
        <v>SqueakSqueakinSqueakSqueakity</v>
      </c>
      <c r="T2" s="65" t="str">
        <f>IF($S$3="","",
IF(S3&gt;S5,S2,S4))</f>
        <v>SqueakSqueakinSqueakSqueakity</v>
      </c>
      <c r="U2" s="65" t="str">
        <f>IF($T$3="","",
IF(T3&gt;T5,T2,T4
))</f>
        <v>SqueakSqueakinSqueakSqueakity</v>
      </c>
    </row>
    <row r="3" spans="1:21" x14ac:dyDescent="0.25">
      <c r="A3" t="s">
        <v>113</v>
      </c>
      <c r="B3" t="s">
        <v>128</v>
      </c>
      <c r="C3" t="s">
        <v>141</v>
      </c>
      <c r="D3" t="s">
        <v>153</v>
      </c>
      <c r="E3" t="s">
        <v>165</v>
      </c>
      <c r="F3" s="1" t="s">
        <v>177</v>
      </c>
      <c r="G3" s="2" t="s">
        <v>189</v>
      </c>
      <c r="H3" t="s">
        <v>201</v>
      </c>
      <c r="I3" s="2" t="s">
        <v>213</v>
      </c>
      <c r="J3" t="s">
        <v>225</v>
      </c>
      <c r="K3" t="s">
        <v>237</v>
      </c>
      <c r="L3" t="s">
        <v>249</v>
      </c>
      <c r="M3" t="s">
        <v>261</v>
      </c>
      <c r="N3" t="s">
        <v>273</v>
      </c>
      <c r="P3" s="14" t="s">
        <v>103</v>
      </c>
      <c r="Q3" s="14" t="s">
        <v>54</v>
      </c>
      <c r="S3" s="36">
        <v>143.75</v>
      </c>
      <c r="T3" s="36">
        <v>165.97</v>
      </c>
      <c r="U3" s="36">
        <v>120.18</v>
      </c>
    </row>
    <row r="4" spans="1:21" x14ac:dyDescent="0.25">
      <c r="A4" t="s">
        <v>114</v>
      </c>
      <c r="B4" t="s">
        <v>114</v>
      </c>
      <c r="C4" t="s">
        <v>114</v>
      </c>
      <c r="D4" t="s">
        <v>114</v>
      </c>
      <c r="E4" t="s">
        <v>114</v>
      </c>
      <c r="F4" s="1" t="s">
        <v>114</v>
      </c>
      <c r="G4" s="2" t="s">
        <v>114</v>
      </c>
      <c r="H4" t="s">
        <v>114</v>
      </c>
      <c r="I4" s="2" t="s">
        <v>114</v>
      </c>
      <c r="J4" t="s">
        <v>114</v>
      </c>
      <c r="K4" t="s">
        <v>114</v>
      </c>
      <c r="L4" t="s">
        <v>114</v>
      </c>
      <c r="M4" t="s">
        <v>114</v>
      </c>
      <c r="N4" t="s">
        <v>114</v>
      </c>
      <c r="P4" s="15" t="s">
        <v>104</v>
      </c>
      <c r="Q4" s="15" t="s">
        <v>46</v>
      </c>
      <c r="S4" s="65" t="str">
        <f>IF($N$2="","",VLOOKUP(6,Calculations!$N$3:$Q$14,4,FALSE))</f>
        <v>Stupid Smartass Psycho</v>
      </c>
      <c r="T4" s="65" t="str">
        <f>IF($S$3="","",
IF(S2=T2,VLOOKUP(2,Standings!$D$3:$E$16,2,FALSE),VLOOKUP(1,Standings!$D$3:$E$16,2,FALSE)))</f>
        <v>Jafar</v>
      </c>
      <c r="U4" s="65" t="str">
        <f>IF($T$3="","",
IF(T8&gt;T10,T7,T9
))</f>
        <v>Herbie's Honkers</v>
      </c>
    </row>
    <row r="5" spans="1:21" x14ac:dyDescent="0.25">
      <c r="A5">
        <v>124.89</v>
      </c>
      <c r="B5">
        <v>117.99</v>
      </c>
      <c r="C5">
        <v>117.22</v>
      </c>
      <c r="D5">
        <v>146.76</v>
      </c>
      <c r="E5">
        <v>137.22</v>
      </c>
      <c r="F5" s="1">
        <v>123</v>
      </c>
      <c r="G5" s="2">
        <v>111.53</v>
      </c>
      <c r="H5">
        <v>156.52000000000001</v>
      </c>
      <c r="I5" s="2">
        <v>142.94</v>
      </c>
      <c r="J5">
        <v>111.37</v>
      </c>
      <c r="K5">
        <v>142.21</v>
      </c>
      <c r="L5">
        <v>161.09</v>
      </c>
      <c r="M5">
        <v>100.22</v>
      </c>
      <c r="N5">
        <v>161.16999999999999</v>
      </c>
      <c r="P5" s="15" t="s">
        <v>105</v>
      </c>
      <c r="Q5" s="15" t="s">
        <v>49</v>
      </c>
      <c r="S5" s="36">
        <v>136.84</v>
      </c>
      <c r="T5" s="36">
        <v>151.06</v>
      </c>
      <c r="U5" s="36">
        <v>179.4</v>
      </c>
    </row>
    <row r="6" spans="1:21" x14ac:dyDescent="0.25">
      <c r="A6">
        <v>130.41</v>
      </c>
      <c r="B6">
        <v>131.80000000000001</v>
      </c>
      <c r="C6">
        <v>127.4</v>
      </c>
      <c r="D6">
        <v>122.85</v>
      </c>
      <c r="E6">
        <v>122.1</v>
      </c>
      <c r="F6" s="1">
        <v>126.08</v>
      </c>
      <c r="G6" s="2">
        <v>105.23</v>
      </c>
      <c r="H6">
        <v>118.94</v>
      </c>
      <c r="I6" s="2">
        <v>108.98</v>
      </c>
      <c r="J6">
        <v>120.55</v>
      </c>
      <c r="K6">
        <v>126.46</v>
      </c>
      <c r="L6">
        <v>129.13</v>
      </c>
      <c r="M6">
        <v>130.51</v>
      </c>
      <c r="N6">
        <v>135.11000000000001</v>
      </c>
      <c r="P6" s="15" t="s">
        <v>106</v>
      </c>
      <c r="Q6" s="15" t="s">
        <v>50</v>
      </c>
    </row>
    <row r="7" spans="1:21" x14ac:dyDescent="0.25">
      <c r="A7" t="s">
        <v>115</v>
      </c>
      <c r="B7" t="s">
        <v>115</v>
      </c>
      <c r="C7" t="s">
        <v>115</v>
      </c>
      <c r="D7" t="s">
        <v>115</v>
      </c>
      <c r="E7" t="s">
        <v>115</v>
      </c>
      <c r="F7" s="1" t="s">
        <v>115</v>
      </c>
      <c r="G7" s="2" t="s">
        <v>115</v>
      </c>
      <c r="H7" t="s">
        <v>115</v>
      </c>
      <c r="I7" s="2" t="s">
        <v>115</v>
      </c>
      <c r="J7" t="s">
        <v>115</v>
      </c>
      <c r="K7" t="s">
        <v>115</v>
      </c>
      <c r="L7" t="s">
        <v>115</v>
      </c>
      <c r="M7" t="s">
        <v>115</v>
      </c>
      <c r="N7" t="s">
        <v>115</v>
      </c>
      <c r="P7" s="16"/>
      <c r="Q7" s="16"/>
      <c r="S7" s="65" t="str">
        <f>IF($N$2="","",VLOOKUP(4,Calculations!$N$3:$Q$14,4,FALSE))</f>
        <v>The Rescuers vs Medusa</v>
      </c>
      <c r="T7" s="65" t="str">
        <f>IF($S$3="","",
IF(S8&gt;S10,S7,S9))</f>
        <v>Prince Abooboo</v>
      </c>
      <c r="U7" s="65" t="str">
        <f>IF($T$3="","",
IF(U2=T2,T4,T2
))</f>
        <v>Jafar</v>
      </c>
    </row>
    <row r="8" spans="1:21" x14ac:dyDescent="0.25">
      <c r="A8">
        <v>139.93</v>
      </c>
      <c r="B8">
        <v>138.27000000000001</v>
      </c>
      <c r="C8">
        <v>91.81</v>
      </c>
      <c r="D8">
        <v>133.71</v>
      </c>
      <c r="E8">
        <v>132.61000000000001</v>
      </c>
      <c r="F8" s="1">
        <v>93.09</v>
      </c>
      <c r="G8" s="2">
        <v>153.44999999999999</v>
      </c>
      <c r="H8">
        <v>94.13</v>
      </c>
      <c r="I8" s="2">
        <v>144.35</v>
      </c>
      <c r="J8">
        <v>135.47999999999999</v>
      </c>
      <c r="K8">
        <v>120.87</v>
      </c>
      <c r="L8">
        <v>127.95</v>
      </c>
      <c r="M8">
        <v>118.9</v>
      </c>
      <c r="N8">
        <v>117.93</v>
      </c>
      <c r="P8" s="15" t="s">
        <v>107</v>
      </c>
      <c r="Q8" s="15" t="s">
        <v>45</v>
      </c>
      <c r="S8" s="36">
        <v>130.77000000000001</v>
      </c>
      <c r="T8" s="36">
        <v>128.91999999999999</v>
      </c>
      <c r="U8" s="36">
        <v>113.68</v>
      </c>
    </row>
    <row r="9" spans="1:21" x14ac:dyDescent="0.25">
      <c r="A9">
        <v>123.44</v>
      </c>
      <c r="B9">
        <v>132.5</v>
      </c>
      <c r="C9">
        <v>121.55</v>
      </c>
      <c r="D9">
        <v>105.56</v>
      </c>
      <c r="E9">
        <v>113.02</v>
      </c>
      <c r="F9" s="1">
        <v>95.55</v>
      </c>
      <c r="G9" s="2">
        <v>115.11</v>
      </c>
      <c r="H9">
        <v>125.31</v>
      </c>
      <c r="I9" s="2">
        <v>92.65</v>
      </c>
      <c r="J9">
        <v>113.81</v>
      </c>
      <c r="K9">
        <v>119.11</v>
      </c>
      <c r="L9">
        <v>111.49</v>
      </c>
      <c r="M9">
        <v>119.28</v>
      </c>
      <c r="N9">
        <v>105.79</v>
      </c>
      <c r="P9" s="15" t="s">
        <v>120</v>
      </c>
      <c r="Q9" s="15" t="s">
        <v>89</v>
      </c>
      <c r="S9" s="65" t="str">
        <f>IF($N$2="","",VLOOKUP(5,Calculations!$N$3:$Q$14,4,FALSE))</f>
        <v>Prince Abooboo</v>
      </c>
      <c r="T9" s="65" t="str">
        <f>IF($S$3="","",
IF(T4=VLOOKUP(1,Standings!$D$3:$E$16,2,FALSE),VLOOKUP(2,Standings!$D$3:$E$16,2,FALSE),VLOOKUP(1,Standings!$D$3:$E$16,2,FALSE)))</f>
        <v>Herbie's Honkers</v>
      </c>
      <c r="U9" s="65" t="str">
        <f>IF($T$3="","",
IF(T7=U4,T9,T7
))</f>
        <v>Prince Abooboo</v>
      </c>
    </row>
    <row r="10" spans="1:21" x14ac:dyDescent="0.25">
      <c r="A10" t="s">
        <v>114</v>
      </c>
      <c r="B10" t="s">
        <v>114</v>
      </c>
      <c r="C10" t="s">
        <v>114</v>
      </c>
      <c r="D10" t="s">
        <v>114</v>
      </c>
      <c r="E10" t="s">
        <v>114</v>
      </c>
      <c r="F10" s="1" t="s">
        <v>114</v>
      </c>
      <c r="G10" s="2" t="s">
        <v>114</v>
      </c>
      <c r="H10" t="s">
        <v>114</v>
      </c>
      <c r="I10" s="2" t="s">
        <v>114</v>
      </c>
      <c r="J10" t="s">
        <v>114</v>
      </c>
      <c r="K10" t="s">
        <v>114</v>
      </c>
      <c r="L10" t="s">
        <v>114</v>
      </c>
      <c r="M10" t="s">
        <v>114</v>
      </c>
      <c r="N10" t="s">
        <v>114</v>
      </c>
      <c r="P10" s="15" t="s">
        <v>108</v>
      </c>
      <c r="Q10" s="15" t="s">
        <v>52</v>
      </c>
      <c r="S10" s="36">
        <v>166.14</v>
      </c>
      <c r="T10" s="36">
        <v>195.13</v>
      </c>
      <c r="U10" s="36">
        <v>97.38</v>
      </c>
    </row>
    <row r="11" spans="1:21" x14ac:dyDescent="0.25">
      <c r="A11" t="s">
        <v>131</v>
      </c>
      <c r="B11" t="s">
        <v>120</v>
      </c>
      <c r="C11" t="s">
        <v>109</v>
      </c>
      <c r="D11" t="s">
        <v>108</v>
      </c>
      <c r="E11" t="s">
        <v>112</v>
      </c>
      <c r="F11" s="1" t="s">
        <v>111</v>
      </c>
      <c r="G11" s="2" t="s">
        <v>104</v>
      </c>
      <c r="H11" t="s">
        <v>105</v>
      </c>
      <c r="I11" s="2" t="s">
        <v>110</v>
      </c>
      <c r="J11" t="s">
        <v>106</v>
      </c>
      <c r="K11" t="s">
        <v>103</v>
      </c>
      <c r="L11" t="s">
        <v>109</v>
      </c>
      <c r="M11" t="s">
        <v>120</v>
      </c>
      <c r="N11" t="s">
        <v>108</v>
      </c>
      <c r="P11" s="15" t="s">
        <v>109</v>
      </c>
      <c r="Q11" s="15" t="s">
        <v>51</v>
      </c>
    </row>
    <row r="12" spans="1:21" x14ac:dyDescent="0.25">
      <c r="A12" t="s">
        <v>116</v>
      </c>
      <c r="B12" t="s">
        <v>129</v>
      </c>
      <c r="C12" t="s">
        <v>142</v>
      </c>
      <c r="D12" t="s">
        <v>154</v>
      </c>
      <c r="E12" t="s">
        <v>166</v>
      </c>
      <c r="F12" s="1" t="s">
        <v>178</v>
      </c>
      <c r="G12" s="2" t="s">
        <v>190</v>
      </c>
      <c r="H12" t="s">
        <v>202</v>
      </c>
      <c r="I12" s="2" t="s">
        <v>214</v>
      </c>
      <c r="J12" t="s">
        <v>226</v>
      </c>
      <c r="K12" t="s">
        <v>238</v>
      </c>
      <c r="L12" t="s">
        <v>250</v>
      </c>
      <c r="M12" t="s">
        <v>262</v>
      </c>
      <c r="N12" t="s">
        <v>274</v>
      </c>
      <c r="P12" s="16"/>
      <c r="Q12" s="16"/>
      <c r="S12" s="65" t="str">
        <f>IF($N$2="","",VLOOKUP(10,Calculations!$N$3:$Q$14,4,FALSE))</f>
        <v>Aladdin Jazerra</v>
      </c>
      <c r="T12" s="65" t="str">
        <f>IF($S$3="","",
IF(S13&lt;S15,S12,S14))</f>
        <v>5 Dozen Eggs by Gaston</v>
      </c>
      <c r="U12" s="65" t="str">
        <f>IF($T$3="","",
IF(T13&gt;T15,T14,T12
))</f>
        <v>Wrong Lever!</v>
      </c>
    </row>
    <row r="13" spans="1:21" x14ac:dyDescent="0.25">
      <c r="A13" t="s">
        <v>110</v>
      </c>
      <c r="B13" t="s">
        <v>110</v>
      </c>
      <c r="C13" t="s">
        <v>110</v>
      </c>
      <c r="D13" t="s">
        <v>110</v>
      </c>
      <c r="E13" t="s">
        <v>110</v>
      </c>
      <c r="F13" s="1" t="s">
        <v>110</v>
      </c>
      <c r="G13" s="2" t="s">
        <v>110</v>
      </c>
      <c r="H13" t="s">
        <v>110</v>
      </c>
      <c r="I13" s="2" t="s">
        <v>103</v>
      </c>
      <c r="J13" t="s">
        <v>110</v>
      </c>
      <c r="K13" t="s">
        <v>110</v>
      </c>
      <c r="L13" t="s">
        <v>110</v>
      </c>
      <c r="M13" t="s">
        <v>110</v>
      </c>
      <c r="N13" t="s">
        <v>110</v>
      </c>
      <c r="P13" s="15" t="s">
        <v>110</v>
      </c>
      <c r="Q13" s="15" t="s">
        <v>90</v>
      </c>
      <c r="S13" s="36">
        <v>104.89</v>
      </c>
      <c r="T13" s="36">
        <v>148</v>
      </c>
      <c r="U13" s="36">
        <v>74.37</v>
      </c>
    </row>
    <row r="14" spans="1:21" x14ac:dyDescent="0.25">
      <c r="A14" t="s">
        <v>117</v>
      </c>
      <c r="B14" t="s">
        <v>130</v>
      </c>
      <c r="C14" t="s">
        <v>143</v>
      </c>
      <c r="D14" t="s">
        <v>155</v>
      </c>
      <c r="E14" t="s">
        <v>167</v>
      </c>
      <c r="F14" s="1" t="s">
        <v>179</v>
      </c>
      <c r="G14" s="2" t="s">
        <v>191</v>
      </c>
      <c r="H14" t="s">
        <v>203</v>
      </c>
      <c r="I14" s="2" t="s">
        <v>215</v>
      </c>
      <c r="J14" t="s">
        <v>227</v>
      </c>
      <c r="K14" t="s">
        <v>239</v>
      </c>
      <c r="L14" t="s">
        <v>251</v>
      </c>
      <c r="M14" t="s">
        <v>263</v>
      </c>
      <c r="N14" t="s">
        <v>275</v>
      </c>
      <c r="P14" s="15" t="s">
        <v>111</v>
      </c>
      <c r="Q14" s="15" t="s">
        <v>53</v>
      </c>
      <c r="S14" s="65" t="str">
        <f>IF($N$2="","",VLOOKUP(7,Calculations!$N$3:$Q$14,4,FALSE))</f>
        <v>5 Dozen Eggs by Gaston</v>
      </c>
      <c r="T14" s="65" t="str">
        <f>IF($S$3="","",
IF(S12=T12,VLOOKUP(11,Standings!$D$3:$E$16,2,FALSE),VLOOKUP(12,Standings!$D$3:$E$16,2,FALSE)))</f>
        <v>Wrong Lever!</v>
      </c>
      <c r="U14" s="65" t="str">
        <f>IF($T$3="","",
IF(T18&gt;T20,T19,T17
))</f>
        <v>We're all mad here</v>
      </c>
    </row>
    <row r="15" spans="1:21" x14ac:dyDescent="0.25">
      <c r="A15" t="s">
        <v>114</v>
      </c>
      <c r="B15" t="s">
        <v>114</v>
      </c>
      <c r="C15" t="s">
        <v>114</v>
      </c>
      <c r="D15" t="s">
        <v>114</v>
      </c>
      <c r="E15" t="s">
        <v>114</v>
      </c>
      <c r="F15" s="3" t="s">
        <v>114</v>
      </c>
      <c r="G15" s="2" t="s">
        <v>114</v>
      </c>
      <c r="H15" t="s">
        <v>114</v>
      </c>
      <c r="I15" t="s">
        <v>114</v>
      </c>
      <c r="J15" t="s">
        <v>114</v>
      </c>
      <c r="K15" t="s">
        <v>114</v>
      </c>
      <c r="L15" t="s">
        <v>114</v>
      </c>
      <c r="M15" t="s">
        <v>114</v>
      </c>
      <c r="N15" t="s">
        <v>114</v>
      </c>
      <c r="P15" s="15" t="s">
        <v>112</v>
      </c>
      <c r="Q15" s="15" t="s">
        <v>48</v>
      </c>
      <c r="S15" s="36">
        <v>74.599999999999994</v>
      </c>
      <c r="T15" s="36">
        <v>137.24</v>
      </c>
      <c r="U15" s="36">
        <v>78.510000000000005</v>
      </c>
    </row>
    <row r="16" spans="1:21" ht="15.75" thickBot="1" x14ac:dyDescent="0.3">
      <c r="A16">
        <v>136.82</v>
      </c>
      <c r="B16">
        <v>113.2</v>
      </c>
      <c r="C16">
        <v>121.96</v>
      </c>
      <c r="D16">
        <v>149.13999999999999</v>
      </c>
      <c r="E16">
        <v>163.29</v>
      </c>
      <c r="F16" s="3">
        <v>117.31</v>
      </c>
      <c r="G16" s="2">
        <v>79.88</v>
      </c>
      <c r="H16">
        <v>113.63</v>
      </c>
      <c r="I16">
        <v>122.26</v>
      </c>
      <c r="J16">
        <v>104.59</v>
      </c>
      <c r="K16">
        <v>159.81</v>
      </c>
      <c r="L16">
        <v>122.31</v>
      </c>
      <c r="M16">
        <v>113.97</v>
      </c>
      <c r="N16">
        <v>89.05</v>
      </c>
      <c r="P16" s="17" t="s">
        <v>131</v>
      </c>
      <c r="Q16" s="17" t="s">
        <v>47</v>
      </c>
    </row>
    <row r="17" spans="1:21" ht="15.75" thickTop="1" x14ac:dyDescent="0.25">
      <c r="A17">
        <v>133.54</v>
      </c>
      <c r="B17">
        <v>131.47999999999999</v>
      </c>
      <c r="C17">
        <v>123.21</v>
      </c>
      <c r="D17">
        <v>122.05</v>
      </c>
      <c r="E17">
        <v>108.81</v>
      </c>
      <c r="F17" s="3">
        <v>123.52</v>
      </c>
      <c r="G17" s="2">
        <v>113.59</v>
      </c>
      <c r="H17">
        <v>108.73</v>
      </c>
      <c r="I17">
        <v>127.19</v>
      </c>
      <c r="J17">
        <v>123.15</v>
      </c>
      <c r="K17">
        <v>136.32</v>
      </c>
      <c r="L17">
        <v>117.39</v>
      </c>
      <c r="M17">
        <v>123.87</v>
      </c>
      <c r="N17">
        <v>115.16</v>
      </c>
      <c r="S17" s="65" t="str">
        <f>IF($N$2="","",VLOOKUP(9,Calculations!$N$3:$Q$14,4,FALSE))</f>
        <v>Tick Tock the Crocodile</v>
      </c>
      <c r="T17" s="65" t="str">
        <f>IF($S$3="","",
IF(S18&lt;S20,S17,S19))</f>
        <v>We're all mad here</v>
      </c>
      <c r="U17" s="65" t="str">
        <f>IF($T$3="","",
IF(U12=T12,T14,T12
))</f>
        <v>5 Dozen Eggs by Gaston</v>
      </c>
    </row>
    <row r="18" spans="1:21" x14ac:dyDescent="0.25">
      <c r="A18" t="s">
        <v>115</v>
      </c>
      <c r="B18" t="s">
        <v>115</v>
      </c>
      <c r="C18" t="s">
        <v>115</v>
      </c>
      <c r="D18" t="s">
        <v>115</v>
      </c>
      <c r="E18" t="s">
        <v>115</v>
      </c>
      <c r="F18" s="3" t="s">
        <v>115</v>
      </c>
      <c r="G18" s="2" t="s">
        <v>115</v>
      </c>
      <c r="H18" t="s">
        <v>115</v>
      </c>
      <c r="I18" t="s">
        <v>115</v>
      </c>
      <c r="J18" t="s">
        <v>115</v>
      </c>
      <c r="K18" t="s">
        <v>115</v>
      </c>
      <c r="L18" t="s">
        <v>115</v>
      </c>
      <c r="M18" t="s">
        <v>115</v>
      </c>
      <c r="N18" t="s">
        <v>115</v>
      </c>
      <c r="S18" s="36">
        <v>133.62</v>
      </c>
      <c r="T18" s="36">
        <v>83.49</v>
      </c>
      <c r="U18" s="36">
        <v>159.74</v>
      </c>
    </row>
    <row r="19" spans="1:21" x14ac:dyDescent="0.25">
      <c r="A19">
        <v>119.28</v>
      </c>
      <c r="B19">
        <v>144.37</v>
      </c>
      <c r="C19">
        <v>108.47</v>
      </c>
      <c r="D19">
        <v>129.44999999999999</v>
      </c>
      <c r="E19">
        <v>156.13</v>
      </c>
      <c r="F19" s="3">
        <v>130.22</v>
      </c>
      <c r="G19" s="2">
        <v>101.41</v>
      </c>
      <c r="H19">
        <v>164.22</v>
      </c>
      <c r="I19">
        <v>121.46</v>
      </c>
      <c r="J19">
        <v>124.8</v>
      </c>
      <c r="K19">
        <v>130.12</v>
      </c>
      <c r="L19">
        <v>108.73</v>
      </c>
      <c r="M19">
        <v>134.13999999999999</v>
      </c>
      <c r="N19">
        <v>127.76</v>
      </c>
      <c r="S19" s="65" t="str">
        <f>IF($N$2="","",VLOOKUP(8,Calculations!$N$3:$Q$14,4,FALSE))</f>
        <v>We're all mad here</v>
      </c>
      <c r="T19" s="65" t="str">
        <f>IF($S$3="","",
IF(T14=VLOOKUP(12,Standings!$D$3:$E$16,2,FALSE),VLOOKUP(11,Standings!$D$3:$E$16,2,FALSE),VLOOKUP(12,Standings!$D$3:$E$16,2,FALSE)))</f>
        <v>The Goob Troop</v>
      </c>
      <c r="U19" s="65" t="str">
        <f>IF($T$3="","",
IF(U14=T17,T19,T17
))</f>
        <v>The Goob Troop</v>
      </c>
    </row>
    <row r="20" spans="1:21" x14ac:dyDescent="0.25">
      <c r="A20">
        <v>119.78</v>
      </c>
      <c r="B20">
        <v>129.91999999999999</v>
      </c>
      <c r="C20">
        <v>130.09</v>
      </c>
      <c r="D20">
        <v>132.63</v>
      </c>
      <c r="E20">
        <v>104.42</v>
      </c>
      <c r="F20" s="3">
        <v>121.89</v>
      </c>
      <c r="G20" s="2">
        <v>110.82</v>
      </c>
      <c r="H20">
        <v>121.49</v>
      </c>
      <c r="I20">
        <v>123.59</v>
      </c>
      <c r="J20">
        <v>122.75</v>
      </c>
      <c r="K20">
        <v>143.06</v>
      </c>
      <c r="L20">
        <v>126.23</v>
      </c>
      <c r="M20">
        <v>129.71</v>
      </c>
      <c r="N20">
        <v>115.37</v>
      </c>
      <c r="S20" s="36">
        <v>59.16</v>
      </c>
      <c r="T20" s="36">
        <v>108.48</v>
      </c>
      <c r="U20" s="36">
        <v>106.85</v>
      </c>
    </row>
    <row r="21" spans="1:21" x14ac:dyDescent="0.25">
      <c r="A21" t="s">
        <v>114</v>
      </c>
      <c r="B21" t="s">
        <v>114</v>
      </c>
      <c r="C21" t="s">
        <v>114</v>
      </c>
      <c r="D21" t="s">
        <v>114</v>
      </c>
      <c r="E21" t="s">
        <v>114</v>
      </c>
      <c r="F21" s="3" t="s">
        <v>114</v>
      </c>
      <c r="G21" s="2" t="s">
        <v>114</v>
      </c>
      <c r="H21" t="s">
        <v>114</v>
      </c>
      <c r="I21" t="s">
        <v>114</v>
      </c>
      <c r="J21" t="s">
        <v>114</v>
      </c>
      <c r="K21" t="s">
        <v>114</v>
      </c>
      <c r="L21" t="s">
        <v>114</v>
      </c>
      <c r="M21" t="s">
        <v>114</v>
      </c>
      <c r="N21" t="s">
        <v>114</v>
      </c>
    </row>
    <row r="22" spans="1:21" x14ac:dyDescent="0.25">
      <c r="A22" t="s">
        <v>108</v>
      </c>
      <c r="B22" t="s">
        <v>131</v>
      </c>
      <c r="C22" t="s">
        <v>111</v>
      </c>
      <c r="D22" t="s">
        <v>112</v>
      </c>
      <c r="E22" t="s">
        <v>120</v>
      </c>
      <c r="F22" s="3" t="s">
        <v>103</v>
      </c>
      <c r="G22" s="2" t="s">
        <v>109</v>
      </c>
      <c r="H22" t="s">
        <v>106</v>
      </c>
      <c r="I22" t="s">
        <v>131</v>
      </c>
      <c r="J22" t="s">
        <v>104</v>
      </c>
      <c r="K22" t="s">
        <v>105</v>
      </c>
      <c r="L22" t="s">
        <v>111</v>
      </c>
      <c r="M22" t="s">
        <v>131</v>
      </c>
      <c r="N22" t="s">
        <v>112</v>
      </c>
      <c r="T22" s="65" t="str">
        <f>IF($S$3="","",
IF(T2=S2,S4,S2))</f>
        <v>Stupid Smartass Psycho</v>
      </c>
    </row>
    <row r="23" spans="1:21" x14ac:dyDescent="0.25">
      <c r="A23" t="s">
        <v>118</v>
      </c>
      <c r="B23" t="s">
        <v>132</v>
      </c>
      <c r="C23" t="s">
        <v>144</v>
      </c>
      <c r="D23" t="s">
        <v>156</v>
      </c>
      <c r="E23" t="s">
        <v>168</v>
      </c>
      <c r="F23" s="1" t="s">
        <v>180</v>
      </c>
      <c r="G23" s="2" t="s">
        <v>192</v>
      </c>
      <c r="H23" t="s">
        <v>204</v>
      </c>
      <c r="I23" s="2" t="s">
        <v>216</v>
      </c>
      <c r="J23" t="s">
        <v>228</v>
      </c>
      <c r="K23" t="s">
        <v>240</v>
      </c>
      <c r="L23" t="s">
        <v>252</v>
      </c>
      <c r="M23" t="s">
        <v>264</v>
      </c>
      <c r="N23" t="s">
        <v>276</v>
      </c>
      <c r="T23" s="36">
        <v>84.89</v>
      </c>
    </row>
    <row r="24" spans="1:21" x14ac:dyDescent="0.25">
      <c r="A24" t="s">
        <v>103</v>
      </c>
      <c r="B24" t="s">
        <v>103</v>
      </c>
      <c r="C24" t="s">
        <v>103</v>
      </c>
      <c r="D24" t="s">
        <v>103</v>
      </c>
      <c r="E24" t="s">
        <v>103</v>
      </c>
      <c r="F24" s="1" t="s">
        <v>120</v>
      </c>
      <c r="G24" s="2" t="s">
        <v>103</v>
      </c>
      <c r="H24" t="s">
        <v>103</v>
      </c>
      <c r="I24" s="2" t="s">
        <v>120</v>
      </c>
      <c r="J24" t="s">
        <v>103</v>
      </c>
      <c r="K24" t="s">
        <v>120</v>
      </c>
      <c r="L24" t="s">
        <v>103</v>
      </c>
      <c r="M24" t="s">
        <v>103</v>
      </c>
      <c r="N24" t="s">
        <v>103</v>
      </c>
      <c r="T24" s="65" t="str">
        <f>IF($S$3="","",
IF(S7=T7,S9,S7))</f>
        <v>The Rescuers vs Medusa</v>
      </c>
    </row>
    <row r="25" spans="1:21" x14ac:dyDescent="0.25">
      <c r="A25" t="s">
        <v>119</v>
      </c>
      <c r="B25" t="s">
        <v>133</v>
      </c>
      <c r="C25" t="s">
        <v>145</v>
      </c>
      <c r="D25" t="s">
        <v>157</v>
      </c>
      <c r="E25" t="s">
        <v>169</v>
      </c>
      <c r="F25" s="1" t="s">
        <v>181</v>
      </c>
      <c r="G25" s="2" t="s">
        <v>193</v>
      </c>
      <c r="H25" t="s">
        <v>205</v>
      </c>
      <c r="I25" s="2" t="s">
        <v>217</v>
      </c>
      <c r="J25" t="s">
        <v>229</v>
      </c>
      <c r="K25" t="s">
        <v>241</v>
      </c>
      <c r="L25" t="s">
        <v>253</v>
      </c>
      <c r="M25" t="s">
        <v>265</v>
      </c>
      <c r="N25" t="s">
        <v>277</v>
      </c>
      <c r="T25" s="36">
        <v>117.21</v>
      </c>
    </row>
    <row r="26" spans="1:21" x14ac:dyDescent="0.25">
      <c r="A26" t="s">
        <v>114</v>
      </c>
      <c r="B26" t="s">
        <v>114</v>
      </c>
      <c r="C26" t="s">
        <v>114</v>
      </c>
      <c r="D26" t="s">
        <v>114</v>
      </c>
      <c r="E26" t="s">
        <v>114</v>
      </c>
      <c r="F26" s="1" t="s">
        <v>114</v>
      </c>
      <c r="G26" s="2" t="s">
        <v>114</v>
      </c>
      <c r="H26" t="s">
        <v>114</v>
      </c>
      <c r="I26" s="2" t="s">
        <v>114</v>
      </c>
      <c r="J26" t="s">
        <v>114</v>
      </c>
      <c r="K26" t="s">
        <v>114</v>
      </c>
      <c r="L26" t="s">
        <v>114</v>
      </c>
      <c r="M26" t="s">
        <v>114</v>
      </c>
      <c r="N26" t="s">
        <v>114</v>
      </c>
    </row>
    <row r="27" spans="1:21" x14ac:dyDescent="0.25">
      <c r="A27">
        <v>113.23</v>
      </c>
      <c r="B27">
        <v>169.96</v>
      </c>
      <c r="C27">
        <v>117.61</v>
      </c>
      <c r="D27">
        <v>154.99</v>
      </c>
      <c r="E27">
        <v>146.94999999999999</v>
      </c>
      <c r="F27" s="1">
        <v>121.17</v>
      </c>
      <c r="G27" s="2">
        <v>156.84</v>
      </c>
      <c r="H27">
        <v>105.92</v>
      </c>
      <c r="I27" s="2">
        <v>113.3</v>
      </c>
      <c r="J27">
        <v>125.63</v>
      </c>
      <c r="K27">
        <v>106.59</v>
      </c>
      <c r="L27">
        <v>136.56</v>
      </c>
      <c r="M27">
        <v>116.24</v>
      </c>
      <c r="N27">
        <v>123.09</v>
      </c>
      <c r="T27" s="65" t="str">
        <f>IF($S$3="","",
IF(S12=T12,S14,S12))</f>
        <v>Aladdin Jazerra</v>
      </c>
    </row>
    <row r="28" spans="1:21" x14ac:dyDescent="0.25">
      <c r="A28">
        <v>116.37</v>
      </c>
      <c r="B28">
        <v>115.01</v>
      </c>
      <c r="C28">
        <v>124</v>
      </c>
      <c r="D28">
        <v>127.64</v>
      </c>
      <c r="E28">
        <v>121.98</v>
      </c>
      <c r="F28" s="1">
        <v>107.68</v>
      </c>
      <c r="G28" s="2">
        <v>126.41</v>
      </c>
      <c r="H28">
        <v>114.57</v>
      </c>
      <c r="I28" s="2">
        <v>107.36</v>
      </c>
      <c r="J28">
        <v>122.82</v>
      </c>
      <c r="K28">
        <v>98.88</v>
      </c>
      <c r="L28">
        <v>137.1</v>
      </c>
      <c r="M28">
        <v>129.43</v>
      </c>
      <c r="N28">
        <v>111.77</v>
      </c>
      <c r="T28" s="36">
        <v>141.11000000000001</v>
      </c>
    </row>
    <row r="29" spans="1:21" x14ac:dyDescent="0.25">
      <c r="A29" t="s">
        <v>115</v>
      </c>
      <c r="B29" t="s">
        <v>115</v>
      </c>
      <c r="C29" t="s">
        <v>115</v>
      </c>
      <c r="D29" t="s">
        <v>115</v>
      </c>
      <c r="E29" t="s">
        <v>115</v>
      </c>
      <c r="F29" s="1" t="s">
        <v>115</v>
      </c>
      <c r="G29" s="2" t="s">
        <v>115</v>
      </c>
      <c r="H29" t="s">
        <v>115</v>
      </c>
      <c r="I29" s="2" t="s">
        <v>115</v>
      </c>
      <c r="J29" t="s">
        <v>115</v>
      </c>
      <c r="K29" t="s">
        <v>115</v>
      </c>
      <c r="L29" t="s">
        <v>115</v>
      </c>
      <c r="M29" t="s">
        <v>115</v>
      </c>
      <c r="N29" t="s">
        <v>115</v>
      </c>
      <c r="T29" s="65" t="str">
        <f>IF($S$3="","",
IF(S17=T17,S19,S17))</f>
        <v>Tick Tock the Crocodile</v>
      </c>
    </row>
    <row r="30" spans="1:21" x14ac:dyDescent="0.25">
      <c r="A30">
        <v>106.19</v>
      </c>
      <c r="B30">
        <v>138.4</v>
      </c>
      <c r="C30">
        <v>97.42</v>
      </c>
      <c r="D30">
        <v>150.51</v>
      </c>
      <c r="E30">
        <v>94.83</v>
      </c>
      <c r="F30" s="1">
        <v>109.06</v>
      </c>
      <c r="G30" s="2">
        <v>150.08000000000001</v>
      </c>
      <c r="H30">
        <v>179.6</v>
      </c>
      <c r="I30" s="2">
        <v>118.1</v>
      </c>
      <c r="J30">
        <v>110.25</v>
      </c>
      <c r="K30">
        <v>119.39</v>
      </c>
      <c r="L30">
        <v>121.84</v>
      </c>
      <c r="M30">
        <v>108.56</v>
      </c>
      <c r="N30">
        <v>134.46</v>
      </c>
      <c r="T30" s="36">
        <v>79.510000000000005</v>
      </c>
    </row>
    <row r="31" spans="1:21" x14ac:dyDescent="0.25">
      <c r="A31">
        <v>124.71</v>
      </c>
      <c r="B31">
        <v>132.69</v>
      </c>
      <c r="C31">
        <v>113.54</v>
      </c>
      <c r="D31">
        <v>133.91999999999999</v>
      </c>
      <c r="E31">
        <v>107.49</v>
      </c>
      <c r="F31" s="1">
        <v>119.13</v>
      </c>
      <c r="G31" s="2">
        <v>113.59</v>
      </c>
      <c r="H31">
        <v>112.23</v>
      </c>
      <c r="I31" s="2">
        <v>113.21</v>
      </c>
      <c r="J31">
        <v>117.85</v>
      </c>
      <c r="K31">
        <v>99.85</v>
      </c>
      <c r="L31">
        <v>96.03</v>
      </c>
      <c r="M31">
        <v>120.98</v>
      </c>
      <c r="N31">
        <v>149.91999999999999</v>
      </c>
    </row>
    <row r="32" spans="1:21" x14ac:dyDescent="0.25">
      <c r="A32" t="s">
        <v>114</v>
      </c>
      <c r="B32" t="s">
        <v>114</v>
      </c>
      <c r="C32" t="s">
        <v>114</v>
      </c>
      <c r="D32" t="s">
        <v>114</v>
      </c>
      <c r="E32" t="s">
        <v>114</v>
      </c>
      <c r="F32" s="1" t="s">
        <v>114</v>
      </c>
      <c r="G32" s="2" t="s">
        <v>114</v>
      </c>
      <c r="H32" t="s">
        <v>114</v>
      </c>
      <c r="I32" s="2" t="s">
        <v>114</v>
      </c>
      <c r="J32" t="s">
        <v>114</v>
      </c>
      <c r="K32" t="s">
        <v>114</v>
      </c>
      <c r="L32" t="s">
        <v>114</v>
      </c>
      <c r="M32" t="s">
        <v>114</v>
      </c>
      <c r="N32" t="s">
        <v>114</v>
      </c>
    </row>
    <row r="33" spans="1:14" x14ac:dyDescent="0.25">
      <c r="A33" t="s">
        <v>120</v>
      </c>
      <c r="B33" t="s">
        <v>106</v>
      </c>
      <c r="C33" t="s">
        <v>104</v>
      </c>
      <c r="D33" t="s">
        <v>105</v>
      </c>
      <c r="E33" t="s">
        <v>111</v>
      </c>
      <c r="F33" s="1" t="s">
        <v>104</v>
      </c>
      <c r="G33" s="2" t="s">
        <v>112</v>
      </c>
      <c r="H33" t="s">
        <v>109</v>
      </c>
      <c r="I33" s="2" t="s">
        <v>111</v>
      </c>
      <c r="J33" t="s">
        <v>108</v>
      </c>
      <c r="K33" t="s">
        <v>106</v>
      </c>
      <c r="L33" t="s">
        <v>104</v>
      </c>
      <c r="M33" t="s">
        <v>106</v>
      </c>
      <c r="N33" t="s">
        <v>105</v>
      </c>
    </row>
    <row r="34" spans="1:14" x14ac:dyDescent="0.25">
      <c r="A34" t="s">
        <v>121</v>
      </c>
      <c r="B34" t="s">
        <v>134</v>
      </c>
      <c r="C34" t="s">
        <v>146</v>
      </c>
      <c r="D34" t="s">
        <v>158</v>
      </c>
      <c r="E34" t="s">
        <v>170</v>
      </c>
      <c r="F34" s="1" t="s">
        <v>182</v>
      </c>
      <c r="G34" s="2" t="s">
        <v>194</v>
      </c>
      <c r="H34" t="s">
        <v>206</v>
      </c>
      <c r="I34" s="2" t="s">
        <v>218</v>
      </c>
      <c r="J34" t="s">
        <v>230</v>
      </c>
      <c r="K34" t="s">
        <v>242</v>
      </c>
      <c r="L34" t="s">
        <v>254</v>
      </c>
      <c r="M34" t="s">
        <v>266</v>
      </c>
      <c r="N34" t="s">
        <v>278</v>
      </c>
    </row>
    <row r="35" spans="1:14" x14ac:dyDescent="0.25">
      <c r="A35" t="s">
        <v>104</v>
      </c>
      <c r="B35" t="s">
        <v>104</v>
      </c>
      <c r="C35" t="s">
        <v>120</v>
      </c>
      <c r="D35" t="s">
        <v>120</v>
      </c>
      <c r="E35" t="s">
        <v>104</v>
      </c>
      <c r="F35" s="1" t="s">
        <v>108</v>
      </c>
      <c r="G35" s="2" t="s">
        <v>120</v>
      </c>
      <c r="H35" t="s">
        <v>120</v>
      </c>
      <c r="I35" s="2" t="s">
        <v>104</v>
      </c>
      <c r="J35" t="s">
        <v>120</v>
      </c>
      <c r="K35" t="s">
        <v>104</v>
      </c>
      <c r="L35" t="s">
        <v>120</v>
      </c>
      <c r="M35" t="s">
        <v>104</v>
      </c>
      <c r="N35" t="s">
        <v>120</v>
      </c>
    </row>
    <row r="36" spans="1:14" x14ac:dyDescent="0.25">
      <c r="A36" t="s">
        <v>122</v>
      </c>
      <c r="B36" t="s">
        <v>135</v>
      </c>
      <c r="C36" t="s">
        <v>147</v>
      </c>
      <c r="D36" t="s">
        <v>159</v>
      </c>
      <c r="E36" t="s">
        <v>171</v>
      </c>
      <c r="F36" s="1" t="s">
        <v>183</v>
      </c>
      <c r="G36" s="2" t="s">
        <v>195</v>
      </c>
      <c r="H36" t="s">
        <v>207</v>
      </c>
      <c r="I36" s="2" t="s">
        <v>219</v>
      </c>
      <c r="J36" t="s">
        <v>231</v>
      </c>
      <c r="K36" t="s">
        <v>243</v>
      </c>
      <c r="L36" t="s">
        <v>255</v>
      </c>
      <c r="M36" t="s">
        <v>267</v>
      </c>
      <c r="N36" t="s">
        <v>279</v>
      </c>
    </row>
    <row r="37" spans="1:14" x14ac:dyDescent="0.25">
      <c r="A37" t="s">
        <v>114</v>
      </c>
      <c r="B37" t="s">
        <v>114</v>
      </c>
      <c r="C37" t="s">
        <v>114</v>
      </c>
      <c r="D37" t="s">
        <v>114</v>
      </c>
      <c r="E37" t="s">
        <v>114</v>
      </c>
      <c r="F37" s="1" t="s">
        <v>114</v>
      </c>
      <c r="G37" s="2" t="s">
        <v>114</v>
      </c>
      <c r="H37" t="s">
        <v>114</v>
      </c>
      <c r="I37" s="2" t="s">
        <v>114</v>
      </c>
      <c r="J37" t="s">
        <v>114</v>
      </c>
      <c r="K37" t="s">
        <v>114</v>
      </c>
      <c r="L37" t="s">
        <v>114</v>
      </c>
      <c r="M37" t="s">
        <v>114</v>
      </c>
      <c r="N37" t="s">
        <v>114</v>
      </c>
    </row>
    <row r="38" spans="1:14" x14ac:dyDescent="0.25">
      <c r="A38">
        <v>82.97</v>
      </c>
      <c r="B38">
        <v>119.32</v>
      </c>
      <c r="C38">
        <v>132.21</v>
      </c>
      <c r="D38">
        <v>108.65</v>
      </c>
      <c r="E38">
        <v>126.21</v>
      </c>
      <c r="F38" s="1">
        <v>123.2</v>
      </c>
      <c r="G38" s="2">
        <v>145.03</v>
      </c>
      <c r="H38">
        <v>108.92</v>
      </c>
      <c r="I38" s="2">
        <v>140.51</v>
      </c>
      <c r="J38">
        <v>142.32</v>
      </c>
      <c r="K38">
        <v>109.27</v>
      </c>
      <c r="L38">
        <v>103.93</v>
      </c>
      <c r="M38">
        <v>137.91</v>
      </c>
      <c r="N38">
        <v>94.51</v>
      </c>
    </row>
    <row r="39" spans="1:14" x14ac:dyDescent="0.25">
      <c r="A39">
        <v>125.26</v>
      </c>
      <c r="B39">
        <v>123.38</v>
      </c>
      <c r="C39">
        <v>125.12</v>
      </c>
      <c r="D39">
        <v>104.24</v>
      </c>
      <c r="E39">
        <v>114.74</v>
      </c>
      <c r="F39" s="1">
        <v>109.78</v>
      </c>
      <c r="G39" s="2">
        <v>109.81</v>
      </c>
      <c r="H39">
        <v>99.02</v>
      </c>
      <c r="I39" s="2">
        <v>121.35</v>
      </c>
      <c r="J39">
        <v>115.66</v>
      </c>
      <c r="K39">
        <v>128.46</v>
      </c>
      <c r="L39">
        <v>109.24</v>
      </c>
      <c r="M39">
        <v>125.42</v>
      </c>
      <c r="N39">
        <v>117.9</v>
      </c>
    </row>
    <row r="40" spans="1:14" x14ac:dyDescent="0.25">
      <c r="A40" t="s">
        <v>115</v>
      </c>
      <c r="B40" t="s">
        <v>115</v>
      </c>
      <c r="C40" t="s">
        <v>115</v>
      </c>
      <c r="D40" t="s">
        <v>115</v>
      </c>
      <c r="E40" t="s">
        <v>115</v>
      </c>
      <c r="F40" s="1" t="s">
        <v>115</v>
      </c>
      <c r="G40" s="2" t="s">
        <v>115</v>
      </c>
      <c r="H40" t="s">
        <v>115</v>
      </c>
      <c r="I40" s="2" t="s">
        <v>115</v>
      </c>
      <c r="J40" t="s">
        <v>115</v>
      </c>
      <c r="K40" t="s">
        <v>115</v>
      </c>
      <c r="L40" t="s">
        <v>115</v>
      </c>
      <c r="M40" t="s">
        <v>115</v>
      </c>
      <c r="N40" t="s">
        <v>115</v>
      </c>
    </row>
    <row r="41" spans="1:14" x14ac:dyDescent="0.25">
      <c r="A41">
        <v>125.82</v>
      </c>
      <c r="B41">
        <v>114.81</v>
      </c>
      <c r="C41">
        <v>114.99</v>
      </c>
      <c r="D41">
        <v>129.07</v>
      </c>
      <c r="E41">
        <v>133.47</v>
      </c>
      <c r="F41" s="1">
        <v>126.31</v>
      </c>
      <c r="G41" s="2">
        <v>159.75</v>
      </c>
      <c r="H41">
        <v>136.25</v>
      </c>
      <c r="I41" s="2">
        <v>99.59</v>
      </c>
      <c r="J41">
        <v>125.67</v>
      </c>
      <c r="K41">
        <v>108.07</v>
      </c>
      <c r="L41">
        <v>100.49</v>
      </c>
      <c r="M41">
        <v>145.93</v>
      </c>
      <c r="N41">
        <v>110.54</v>
      </c>
    </row>
    <row r="42" spans="1:14" x14ac:dyDescent="0.25">
      <c r="A42">
        <v>118.31</v>
      </c>
      <c r="B42">
        <v>114.96</v>
      </c>
      <c r="C42">
        <v>119.3</v>
      </c>
      <c r="D42">
        <v>117.02</v>
      </c>
      <c r="E42">
        <v>118.4</v>
      </c>
      <c r="F42" s="1">
        <v>135.05000000000001</v>
      </c>
      <c r="G42" s="2">
        <v>127.06</v>
      </c>
      <c r="H42">
        <v>109.67</v>
      </c>
      <c r="I42" s="2">
        <v>101.57</v>
      </c>
      <c r="J42">
        <v>113.91</v>
      </c>
      <c r="K42">
        <v>124.24</v>
      </c>
      <c r="L42">
        <v>108.43</v>
      </c>
      <c r="M42">
        <v>140.9</v>
      </c>
      <c r="N42">
        <v>123.96</v>
      </c>
    </row>
    <row r="43" spans="1:14" x14ac:dyDescent="0.25">
      <c r="A43" t="s">
        <v>114</v>
      </c>
      <c r="B43" t="s">
        <v>114</v>
      </c>
      <c r="C43" t="s">
        <v>114</v>
      </c>
      <c r="D43" t="s">
        <v>114</v>
      </c>
      <c r="E43" t="s">
        <v>114</v>
      </c>
      <c r="F43" s="1" t="s">
        <v>114</v>
      </c>
      <c r="G43" s="2" t="s">
        <v>114</v>
      </c>
      <c r="H43" t="s">
        <v>114</v>
      </c>
      <c r="I43" s="2" t="s">
        <v>114</v>
      </c>
      <c r="J43" t="s">
        <v>114</v>
      </c>
      <c r="K43" t="s">
        <v>114</v>
      </c>
      <c r="L43" t="s">
        <v>114</v>
      </c>
      <c r="M43" t="s">
        <v>114</v>
      </c>
      <c r="N43" t="s">
        <v>114</v>
      </c>
    </row>
    <row r="44" spans="1:14" x14ac:dyDescent="0.25">
      <c r="A44" t="s">
        <v>112</v>
      </c>
      <c r="B44" t="s">
        <v>105</v>
      </c>
      <c r="C44" t="s">
        <v>108</v>
      </c>
      <c r="D44" t="s">
        <v>109</v>
      </c>
      <c r="E44" t="s">
        <v>109</v>
      </c>
      <c r="F44" s="1" t="s">
        <v>105</v>
      </c>
      <c r="G44" s="2" t="s">
        <v>105</v>
      </c>
      <c r="H44" t="s">
        <v>112</v>
      </c>
      <c r="I44" s="2" t="s">
        <v>108</v>
      </c>
      <c r="J44" t="s">
        <v>131</v>
      </c>
      <c r="K44" t="s">
        <v>111</v>
      </c>
      <c r="L44" t="s">
        <v>108</v>
      </c>
      <c r="M44" t="s">
        <v>105</v>
      </c>
      <c r="N44" t="s">
        <v>109</v>
      </c>
    </row>
    <row r="45" spans="1:14" x14ac:dyDescent="0.25">
      <c r="A45" t="s">
        <v>123</v>
      </c>
      <c r="B45" t="s">
        <v>136</v>
      </c>
      <c r="C45" t="s">
        <v>148</v>
      </c>
      <c r="D45" t="s">
        <v>160</v>
      </c>
      <c r="E45" t="s">
        <v>172</v>
      </c>
      <c r="F45" s="1" t="s">
        <v>184</v>
      </c>
      <c r="G45" s="2" t="s">
        <v>196</v>
      </c>
      <c r="H45" t="s">
        <v>208</v>
      </c>
      <c r="I45" s="2" t="s">
        <v>220</v>
      </c>
      <c r="J45" t="s">
        <v>232</v>
      </c>
      <c r="K45" t="s">
        <v>244</v>
      </c>
      <c r="L45" t="s">
        <v>256</v>
      </c>
      <c r="M45" t="s">
        <v>268</v>
      </c>
      <c r="N45" t="s">
        <v>280</v>
      </c>
    </row>
    <row r="46" spans="1:14" x14ac:dyDescent="0.25">
      <c r="A46" t="s">
        <v>111</v>
      </c>
      <c r="B46" t="s">
        <v>111</v>
      </c>
      <c r="C46" t="s">
        <v>112</v>
      </c>
      <c r="D46" t="s">
        <v>104</v>
      </c>
      <c r="E46" t="s">
        <v>108</v>
      </c>
      <c r="F46" s="1" t="s">
        <v>112</v>
      </c>
      <c r="G46" s="2" t="s">
        <v>111</v>
      </c>
      <c r="H46" t="s">
        <v>104</v>
      </c>
      <c r="I46" s="2" t="s">
        <v>112</v>
      </c>
      <c r="J46" t="s">
        <v>111</v>
      </c>
      <c r="K46" t="s">
        <v>108</v>
      </c>
      <c r="L46" t="s">
        <v>112</v>
      </c>
      <c r="M46" t="s">
        <v>111</v>
      </c>
      <c r="N46" t="s">
        <v>104</v>
      </c>
    </row>
    <row r="47" spans="1:14" x14ac:dyDescent="0.25">
      <c r="A47" t="s">
        <v>124</v>
      </c>
      <c r="B47" t="s">
        <v>137</v>
      </c>
      <c r="C47" t="s">
        <v>149</v>
      </c>
      <c r="D47" t="s">
        <v>161</v>
      </c>
      <c r="E47" t="s">
        <v>173</v>
      </c>
      <c r="F47" s="1" t="s">
        <v>185</v>
      </c>
      <c r="G47" s="2" t="s">
        <v>197</v>
      </c>
      <c r="H47" t="s">
        <v>209</v>
      </c>
      <c r="I47" s="2" t="s">
        <v>221</v>
      </c>
      <c r="J47" t="s">
        <v>233</v>
      </c>
      <c r="K47" t="s">
        <v>245</v>
      </c>
      <c r="L47" t="s">
        <v>257</v>
      </c>
      <c r="M47" t="s">
        <v>269</v>
      </c>
      <c r="N47" t="s">
        <v>281</v>
      </c>
    </row>
    <row r="48" spans="1:14" x14ac:dyDescent="0.25">
      <c r="A48" t="s">
        <v>114</v>
      </c>
      <c r="B48" t="s">
        <v>114</v>
      </c>
      <c r="C48" t="s">
        <v>114</v>
      </c>
      <c r="D48" t="s">
        <v>114</v>
      </c>
      <c r="E48" t="s">
        <v>114</v>
      </c>
      <c r="F48" s="1" t="s">
        <v>114</v>
      </c>
      <c r="G48" s="2" t="s">
        <v>114</v>
      </c>
      <c r="H48" t="s">
        <v>114</v>
      </c>
      <c r="I48" s="2" t="s">
        <v>114</v>
      </c>
      <c r="J48" t="s">
        <v>114</v>
      </c>
      <c r="K48" t="s">
        <v>114</v>
      </c>
      <c r="L48" t="s">
        <v>114</v>
      </c>
      <c r="M48" t="s">
        <v>114</v>
      </c>
      <c r="N48" t="s">
        <v>114</v>
      </c>
    </row>
    <row r="49" spans="1:14" x14ac:dyDescent="0.25">
      <c r="A49">
        <v>88.71</v>
      </c>
      <c r="B49">
        <v>116.04</v>
      </c>
      <c r="C49">
        <v>137.16999999999999</v>
      </c>
      <c r="D49">
        <v>102.05</v>
      </c>
      <c r="E49">
        <v>96.33</v>
      </c>
      <c r="F49" s="1">
        <v>152.11000000000001</v>
      </c>
      <c r="G49" s="2">
        <v>131.51</v>
      </c>
      <c r="H49">
        <v>114.98</v>
      </c>
      <c r="I49" s="2">
        <v>113.27</v>
      </c>
      <c r="J49">
        <v>127.99</v>
      </c>
      <c r="K49">
        <v>136.69</v>
      </c>
      <c r="L49">
        <v>142.72999999999999</v>
      </c>
      <c r="M49">
        <v>123.1</v>
      </c>
      <c r="N49">
        <v>90.13</v>
      </c>
    </row>
    <row r="50" spans="1:14" x14ac:dyDescent="0.25">
      <c r="A50">
        <v>126.71</v>
      </c>
      <c r="B50">
        <v>123.95</v>
      </c>
      <c r="C50">
        <v>127.93</v>
      </c>
      <c r="D50">
        <v>117.43</v>
      </c>
      <c r="E50">
        <v>109.13</v>
      </c>
      <c r="F50" s="1">
        <v>122.65</v>
      </c>
      <c r="G50" s="2">
        <v>113.73</v>
      </c>
      <c r="H50">
        <v>108.33</v>
      </c>
      <c r="I50" s="2">
        <v>115.32</v>
      </c>
      <c r="J50">
        <v>109.72</v>
      </c>
      <c r="K50">
        <v>107.42</v>
      </c>
      <c r="L50">
        <v>135.91</v>
      </c>
      <c r="M50">
        <v>129</v>
      </c>
      <c r="N50">
        <v>100.92</v>
      </c>
    </row>
    <row r="51" spans="1:14" x14ac:dyDescent="0.25">
      <c r="A51" t="s">
        <v>115</v>
      </c>
      <c r="B51" t="s">
        <v>115</v>
      </c>
      <c r="C51" t="s">
        <v>115</v>
      </c>
      <c r="D51" t="s">
        <v>115</v>
      </c>
      <c r="E51" t="s">
        <v>115</v>
      </c>
      <c r="F51" s="1" t="s">
        <v>115</v>
      </c>
      <c r="G51" s="2" t="s">
        <v>115</v>
      </c>
      <c r="H51" t="s">
        <v>115</v>
      </c>
      <c r="I51" s="2" t="s">
        <v>115</v>
      </c>
      <c r="J51" t="s">
        <v>115</v>
      </c>
      <c r="K51" t="s">
        <v>115</v>
      </c>
      <c r="L51" t="s">
        <v>115</v>
      </c>
      <c r="M51" t="s">
        <v>115</v>
      </c>
      <c r="N51" t="s">
        <v>115</v>
      </c>
    </row>
    <row r="52" spans="1:14" x14ac:dyDescent="0.25">
      <c r="A52">
        <v>144.62</v>
      </c>
      <c r="B52">
        <v>111.21</v>
      </c>
      <c r="C52">
        <v>142.05000000000001</v>
      </c>
      <c r="D52">
        <v>126.87</v>
      </c>
      <c r="E52">
        <v>114.8</v>
      </c>
      <c r="F52" s="1">
        <v>102.73</v>
      </c>
      <c r="G52" s="2">
        <v>114.55</v>
      </c>
      <c r="H52">
        <v>122.9</v>
      </c>
      <c r="I52" s="2">
        <v>149.04</v>
      </c>
      <c r="J52">
        <v>145.30000000000001</v>
      </c>
      <c r="K52">
        <v>120.97</v>
      </c>
      <c r="L52">
        <v>138.38999999999999</v>
      </c>
      <c r="M52">
        <v>98.45</v>
      </c>
      <c r="N52">
        <v>57.24</v>
      </c>
    </row>
    <row r="53" spans="1:14" x14ac:dyDescent="0.25">
      <c r="A53">
        <v>132.32</v>
      </c>
      <c r="B53">
        <v>129.19999999999999</v>
      </c>
      <c r="C53">
        <v>127.91</v>
      </c>
      <c r="D53">
        <v>125.57</v>
      </c>
      <c r="E53">
        <v>118.47</v>
      </c>
      <c r="F53" s="1">
        <v>119.4</v>
      </c>
      <c r="G53" s="2">
        <v>108.77</v>
      </c>
      <c r="H53">
        <v>108.91</v>
      </c>
      <c r="I53" s="2">
        <v>118.53</v>
      </c>
      <c r="J53">
        <v>125.79</v>
      </c>
      <c r="K53">
        <v>132.80000000000001</v>
      </c>
      <c r="L53">
        <v>126.9</v>
      </c>
      <c r="M53">
        <v>130.59</v>
      </c>
      <c r="N53">
        <v>113.09</v>
      </c>
    </row>
    <row r="54" spans="1:14" x14ac:dyDescent="0.25">
      <c r="A54" t="s">
        <v>114</v>
      </c>
      <c r="B54" t="s">
        <v>114</v>
      </c>
      <c r="C54" t="s">
        <v>114</v>
      </c>
      <c r="D54" t="s">
        <v>114</v>
      </c>
      <c r="E54" t="s">
        <v>114</v>
      </c>
      <c r="F54" s="1" t="s">
        <v>114</v>
      </c>
      <c r="G54" s="2" t="s">
        <v>114</v>
      </c>
      <c r="H54" t="s">
        <v>114</v>
      </c>
      <c r="I54" s="2" t="s">
        <v>114</v>
      </c>
      <c r="J54" t="s">
        <v>114</v>
      </c>
      <c r="K54" t="s">
        <v>114</v>
      </c>
      <c r="L54" t="s">
        <v>114</v>
      </c>
      <c r="M54" t="s">
        <v>114</v>
      </c>
      <c r="N54" t="s">
        <v>114</v>
      </c>
    </row>
    <row r="55" spans="1:14" x14ac:dyDescent="0.25">
      <c r="A55" t="s">
        <v>105</v>
      </c>
      <c r="B55" t="s">
        <v>112</v>
      </c>
      <c r="C55" t="s">
        <v>131</v>
      </c>
      <c r="D55" t="s">
        <v>106</v>
      </c>
      <c r="E55" t="s">
        <v>106</v>
      </c>
      <c r="F55" s="1" t="s">
        <v>109</v>
      </c>
      <c r="G55" s="2" t="s">
        <v>106</v>
      </c>
      <c r="H55" t="s">
        <v>131</v>
      </c>
      <c r="I55" s="2" t="s">
        <v>106</v>
      </c>
      <c r="J55" t="s">
        <v>109</v>
      </c>
      <c r="K55" t="s">
        <v>112</v>
      </c>
      <c r="L55" t="s">
        <v>131</v>
      </c>
      <c r="M55" t="s">
        <v>112</v>
      </c>
      <c r="N55" t="s">
        <v>106</v>
      </c>
    </row>
    <row r="56" spans="1:14" x14ac:dyDescent="0.25">
      <c r="A56" t="s">
        <v>125</v>
      </c>
      <c r="B56" t="s">
        <v>138</v>
      </c>
      <c r="C56" t="s">
        <v>150</v>
      </c>
      <c r="D56" t="s">
        <v>162</v>
      </c>
      <c r="E56" t="s">
        <v>174</v>
      </c>
      <c r="F56" s="1" t="s">
        <v>186</v>
      </c>
      <c r="G56" s="2" t="s">
        <v>198</v>
      </c>
      <c r="H56" t="s">
        <v>210</v>
      </c>
      <c r="I56" s="2" t="s">
        <v>222</v>
      </c>
      <c r="J56" t="s">
        <v>234</v>
      </c>
      <c r="K56" t="s">
        <v>246</v>
      </c>
      <c r="L56" t="s">
        <v>258</v>
      </c>
      <c r="M56" t="s">
        <v>270</v>
      </c>
      <c r="N56" t="s">
        <v>282</v>
      </c>
    </row>
    <row r="57" spans="1:14" x14ac:dyDescent="0.25">
      <c r="A57" t="s">
        <v>106</v>
      </c>
      <c r="B57" t="s">
        <v>108</v>
      </c>
      <c r="C57" t="s">
        <v>105</v>
      </c>
      <c r="D57" t="s">
        <v>111</v>
      </c>
      <c r="E57" t="s">
        <v>105</v>
      </c>
      <c r="F57" s="1" t="s">
        <v>106</v>
      </c>
      <c r="G57" s="2" t="s">
        <v>108</v>
      </c>
      <c r="H57" t="s">
        <v>111</v>
      </c>
      <c r="I57" s="2" t="s">
        <v>105</v>
      </c>
      <c r="J57" t="s">
        <v>112</v>
      </c>
      <c r="K57" t="s">
        <v>109</v>
      </c>
      <c r="L57" t="s">
        <v>105</v>
      </c>
      <c r="M57" t="s">
        <v>108</v>
      </c>
      <c r="N57" t="s">
        <v>111</v>
      </c>
    </row>
    <row r="58" spans="1:14" x14ac:dyDescent="0.25">
      <c r="A58" t="s">
        <v>126</v>
      </c>
      <c r="B58" t="s">
        <v>139</v>
      </c>
      <c r="C58" t="s">
        <v>151</v>
      </c>
      <c r="D58" t="s">
        <v>163</v>
      </c>
      <c r="E58" t="s">
        <v>175</v>
      </c>
      <c r="F58" s="1" t="s">
        <v>187</v>
      </c>
      <c r="G58" s="2" t="s">
        <v>199</v>
      </c>
      <c r="H58" t="s">
        <v>211</v>
      </c>
      <c r="I58" s="2" t="s">
        <v>223</v>
      </c>
      <c r="J58" t="s">
        <v>235</v>
      </c>
      <c r="K58" t="s">
        <v>247</v>
      </c>
      <c r="L58" t="s">
        <v>259</v>
      </c>
      <c r="M58" t="s">
        <v>271</v>
      </c>
      <c r="N58" t="s">
        <v>283</v>
      </c>
    </row>
    <row r="59" spans="1:14" x14ac:dyDescent="0.25">
      <c r="A59" t="s">
        <v>114</v>
      </c>
      <c r="B59" t="s">
        <v>114</v>
      </c>
      <c r="C59" t="s">
        <v>114</v>
      </c>
      <c r="D59" t="s">
        <v>114</v>
      </c>
      <c r="E59" t="s">
        <v>114</v>
      </c>
      <c r="F59" s="1" t="s">
        <v>114</v>
      </c>
      <c r="G59" s="2" t="s">
        <v>114</v>
      </c>
      <c r="H59" t="s">
        <v>114</v>
      </c>
      <c r="I59" s="2" t="s">
        <v>114</v>
      </c>
      <c r="J59" t="s">
        <v>114</v>
      </c>
      <c r="K59" t="s">
        <v>114</v>
      </c>
      <c r="L59" t="s">
        <v>114</v>
      </c>
      <c r="M59" t="s">
        <v>114</v>
      </c>
      <c r="N59" t="s">
        <v>114</v>
      </c>
    </row>
    <row r="60" spans="1:14" x14ac:dyDescent="0.25">
      <c r="A60">
        <v>107.42</v>
      </c>
      <c r="B60">
        <v>127.63</v>
      </c>
      <c r="C60">
        <v>151.75</v>
      </c>
      <c r="D60">
        <v>106.53</v>
      </c>
      <c r="E60">
        <v>160.69</v>
      </c>
      <c r="F60" s="1">
        <v>131.5</v>
      </c>
      <c r="G60" s="2">
        <v>113.75</v>
      </c>
      <c r="H60">
        <v>100.16</v>
      </c>
      <c r="I60" s="2">
        <v>152.22999999999999</v>
      </c>
      <c r="J60">
        <v>104.5</v>
      </c>
      <c r="K60">
        <v>87.7</v>
      </c>
      <c r="L60">
        <v>121.05</v>
      </c>
      <c r="M60">
        <v>126.66</v>
      </c>
      <c r="N60">
        <v>100.66</v>
      </c>
    </row>
    <row r="61" spans="1:14" x14ac:dyDescent="0.25">
      <c r="A61">
        <v>132.41</v>
      </c>
      <c r="B61">
        <v>116.71</v>
      </c>
      <c r="C61">
        <v>128.46</v>
      </c>
      <c r="D61">
        <v>103.66</v>
      </c>
      <c r="E61">
        <v>125.12</v>
      </c>
      <c r="F61" s="1">
        <v>122.24</v>
      </c>
      <c r="G61" s="2">
        <v>110.61</v>
      </c>
      <c r="H61">
        <v>112.19</v>
      </c>
      <c r="I61" s="2">
        <v>130.65</v>
      </c>
      <c r="J61">
        <v>127.41</v>
      </c>
      <c r="K61">
        <v>129.37</v>
      </c>
      <c r="L61">
        <v>147.26</v>
      </c>
      <c r="M61">
        <v>111.84</v>
      </c>
      <c r="N61">
        <v>130.05000000000001</v>
      </c>
    </row>
    <row r="62" spans="1:14" x14ac:dyDescent="0.25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s="1" t="s">
        <v>115</v>
      </c>
      <c r="G62" s="2" t="s">
        <v>115</v>
      </c>
      <c r="H62" t="s">
        <v>115</v>
      </c>
      <c r="I62" s="2" t="s">
        <v>115</v>
      </c>
      <c r="J62" t="s">
        <v>115</v>
      </c>
      <c r="K62" t="s">
        <v>115</v>
      </c>
      <c r="L62" t="s">
        <v>115</v>
      </c>
      <c r="M62" t="s">
        <v>115</v>
      </c>
      <c r="N62" t="s">
        <v>115</v>
      </c>
    </row>
    <row r="63" spans="1:14" x14ac:dyDescent="0.25">
      <c r="A63">
        <v>91.75</v>
      </c>
      <c r="B63">
        <v>100.77</v>
      </c>
      <c r="C63">
        <v>124.71</v>
      </c>
      <c r="D63">
        <v>99.91</v>
      </c>
      <c r="E63">
        <v>147.25</v>
      </c>
      <c r="F63" s="1">
        <v>120.31</v>
      </c>
      <c r="G63" s="2">
        <v>168.44</v>
      </c>
      <c r="H63">
        <v>123.68</v>
      </c>
      <c r="I63" s="2">
        <v>134.54</v>
      </c>
      <c r="J63">
        <v>162.53</v>
      </c>
      <c r="K63">
        <v>81.55</v>
      </c>
      <c r="L63">
        <v>107.76</v>
      </c>
      <c r="M63">
        <v>104.92</v>
      </c>
      <c r="N63">
        <v>160.19999999999999</v>
      </c>
    </row>
    <row r="64" spans="1:14" x14ac:dyDescent="0.25">
      <c r="A64">
        <v>124.72</v>
      </c>
      <c r="B64">
        <v>127.32</v>
      </c>
      <c r="C64">
        <v>109.95</v>
      </c>
      <c r="D64">
        <v>124.12</v>
      </c>
      <c r="E64">
        <v>121.43</v>
      </c>
      <c r="F64" s="1">
        <v>124.62</v>
      </c>
      <c r="G64" s="2">
        <v>112.3</v>
      </c>
      <c r="H64">
        <v>100.53</v>
      </c>
      <c r="I64" s="2">
        <v>123.69</v>
      </c>
      <c r="J64">
        <v>140.97999999999999</v>
      </c>
      <c r="K64">
        <v>122.3</v>
      </c>
      <c r="L64">
        <v>104.74</v>
      </c>
      <c r="M64">
        <v>129.30000000000001</v>
      </c>
      <c r="N64">
        <v>111.04</v>
      </c>
    </row>
    <row r="65" spans="1:14" x14ac:dyDescent="0.25">
      <c r="A65" t="s">
        <v>114</v>
      </c>
      <c r="B65" t="s">
        <v>114</v>
      </c>
      <c r="C65" t="s">
        <v>114</v>
      </c>
      <c r="D65" t="s">
        <v>114</v>
      </c>
      <c r="E65" t="s">
        <v>114</v>
      </c>
      <c r="F65" s="1" t="s">
        <v>114</v>
      </c>
      <c r="G65" s="2" t="s">
        <v>114</v>
      </c>
      <c r="H65" t="s">
        <v>114</v>
      </c>
      <c r="I65" s="2" t="s">
        <v>114</v>
      </c>
      <c r="J65" t="s">
        <v>114</v>
      </c>
      <c r="K65" t="s">
        <v>114</v>
      </c>
      <c r="L65" t="s">
        <v>114</v>
      </c>
      <c r="M65" t="s">
        <v>114</v>
      </c>
      <c r="N65" t="s">
        <v>114</v>
      </c>
    </row>
    <row r="66" spans="1:14" x14ac:dyDescent="0.25">
      <c r="A66" t="s">
        <v>109</v>
      </c>
      <c r="B66" t="s">
        <v>109</v>
      </c>
      <c r="C66" t="s">
        <v>106</v>
      </c>
      <c r="D66" t="s">
        <v>131</v>
      </c>
      <c r="E66" t="s">
        <v>131</v>
      </c>
      <c r="F66" s="1" t="s">
        <v>131</v>
      </c>
      <c r="G66" s="2" t="s">
        <v>131</v>
      </c>
      <c r="H66" t="s">
        <v>108</v>
      </c>
      <c r="I66" s="2" t="s">
        <v>109</v>
      </c>
      <c r="J66" t="s">
        <v>105</v>
      </c>
      <c r="K66" t="s">
        <v>131</v>
      </c>
      <c r="L66" t="s">
        <v>106</v>
      </c>
      <c r="M66" t="s">
        <v>109</v>
      </c>
      <c r="N66" t="s">
        <v>131</v>
      </c>
    </row>
    <row r="67" spans="1:14" x14ac:dyDescent="0.25">
      <c r="A67" t="s">
        <v>127</v>
      </c>
      <c r="B67" t="s">
        <v>140</v>
      </c>
      <c r="C67" t="s">
        <v>152</v>
      </c>
      <c r="D67" t="s">
        <v>164</v>
      </c>
      <c r="E67" t="s">
        <v>176</v>
      </c>
      <c r="F67" s="1" t="s">
        <v>188</v>
      </c>
      <c r="G67" s="2" t="s">
        <v>200</v>
      </c>
      <c r="H67" t="s">
        <v>212</v>
      </c>
      <c r="I67" s="2" t="s">
        <v>224</v>
      </c>
      <c r="J67" t="s">
        <v>236</v>
      </c>
      <c r="K67" t="s">
        <v>248</v>
      </c>
      <c r="L67" t="s">
        <v>260</v>
      </c>
      <c r="M67" t="s">
        <v>272</v>
      </c>
      <c r="N67" t="s">
        <v>284</v>
      </c>
    </row>
  </sheetData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C2C80-8D9D-4B6E-A958-2C569B75ACF2}">
  <sheetPr>
    <tabColor rgb="FFFF0000"/>
  </sheetPr>
  <dimension ref="A1:BN198"/>
  <sheetViews>
    <sheetView topLeftCell="F1" workbookViewId="0">
      <pane ySplit="2" topLeftCell="A3" activePane="bottomLeft" state="frozen"/>
      <selection pane="bottomLeft" activeCell="O8" sqref="O8"/>
    </sheetView>
  </sheetViews>
  <sheetFormatPr defaultColWidth="9.140625" defaultRowHeight="12.75" x14ac:dyDescent="0.2"/>
  <cols>
    <col min="1" max="1" width="5.140625" style="20" bestFit="1" customWidth="1"/>
    <col min="2" max="2" width="27.140625" style="19" bestFit="1" customWidth="1"/>
    <col min="3" max="3" width="4.7109375" style="46" bestFit="1" customWidth="1"/>
    <col min="4" max="4" width="9.140625" style="21"/>
    <col min="5" max="5" width="9.140625" style="19"/>
    <col min="6" max="6" width="9.140625" style="21"/>
    <col min="7" max="7" width="4.7109375" style="21" bestFit="1" customWidth="1"/>
    <col min="8" max="8" width="27.140625" style="19" bestFit="1" customWidth="1"/>
    <col min="9" max="9" width="6.140625" style="19" customWidth="1"/>
    <col min="10" max="10" width="10" style="19" bestFit="1" customWidth="1"/>
    <col min="11" max="11" width="9.140625" style="19" bestFit="1" customWidth="1"/>
    <col min="12" max="12" width="9.140625" style="19" customWidth="1"/>
    <col min="13" max="13" width="9.140625" style="19"/>
    <col min="14" max="14" width="10.7109375" style="19" customWidth="1"/>
    <col min="15" max="16" width="8.5703125" style="19" customWidth="1"/>
    <col min="17" max="17" width="25.5703125" style="19" bestFit="1" customWidth="1"/>
    <col min="18" max="20" width="4.28515625" style="19" customWidth="1"/>
    <col min="21" max="22" width="8.5703125" style="19" customWidth="1"/>
    <col min="23" max="23" width="9.140625" style="19"/>
    <col min="24" max="24" width="20.7109375" style="19" bestFit="1" customWidth="1"/>
    <col min="25" max="26" width="2.85546875" style="20" customWidth="1"/>
    <col min="27" max="27" width="7.140625" style="20" customWidth="1"/>
    <col min="28" max="29" width="2.85546875" style="20" customWidth="1"/>
    <col min="30" max="30" width="7.140625" style="20" customWidth="1"/>
    <col min="31" max="32" width="2.85546875" style="20" customWidth="1"/>
    <col min="33" max="33" width="7.140625" style="20" customWidth="1"/>
    <col min="34" max="35" width="2.85546875" style="20" customWidth="1"/>
    <col min="36" max="36" width="7.140625" style="20" customWidth="1"/>
    <col min="37" max="38" width="2.85546875" style="20" customWidth="1"/>
    <col min="39" max="39" width="7.140625" style="20" customWidth="1"/>
    <col min="40" max="41" width="2.85546875" style="20" customWidth="1"/>
    <col min="42" max="42" width="7.140625" style="20" customWidth="1"/>
    <col min="43" max="44" width="2.85546875" style="20" customWidth="1"/>
    <col min="45" max="45" width="7.140625" style="20" customWidth="1"/>
    <col min="46" max="47" width="2.85546875" style="20" customWidth="1"/>
    <col min="48" max="48" width="7.140625" style="20" customWidth="1"/>
    <col min="49" max="50" width="2.85546875" style="20" customWidth="1"/>
    <col min="51" max="51" width="7.140625" style="20" customWidth="1"/>
    <col min="52" max="53" width="2.85546875" style="20" customWidth="1"/>
    <col min="54" max="54" width="7.140625" style="20" customWidth="1"/>
    <col min="55" max="56" width="2.85546875" style="20" customWidth="1"/>
    <col min="57" max="57" width="7.140625" style="20" customWidth="1"/>
    <col min="58" max="59" width="2.85546875" style="20" customWidth="1"/>
    <col min="60" max="60" width="7.140625" style="20" customWidth="1"/>
    <col min="61" max="62" width="2.85546875" style="20" customWidth="1"/>
    <col min="63" max="63" width="7.140625" style="20" customWidth="1"/>
    <col min="64" max="65" width="2.85546875" style="20" customWidth="1"/>
    <col min="66" max="66" width="7.140625" style="20" customWidth="1"/>
    <col min="67" max="16384" width="9.140625" style="19"/>
  </cols>
  <sheetData>
    <row r="1" spans="1:66" ht="20.25" thickBot="1" x14ac:dyDescent="0.35">
      <c r="A1" s="100" t="s">
        <v>31</v>
      </c>
      <c r="B1" s="100"/>
      <c r="C1" s="100"/>
      <c r="D1" s="100"/>
      <c r="E1" s="100"/>
      <c r="F1" s="100"/>
      <c r="G1" s="100"/>
      <c r="H1" s="100"/>
      <c r="I1" s="100"/>
      <c r="J1" s="100"/>
      <c r="K1" s="7"/>
      <c r="L1" s="7"/>
      <c r="N1" s="100" t="s">
        <v>30</v>
      </c>
      <c r="O1" s="100"/>
      <c r="P1" s="100"/>
      <c r="Q1" s="100"/>
      <c r="R1" s="100"/>
      <c r="S1" s="100"/>
      <c r="T1" s="100"/>
      <c r="U1" s="100"/>
      <c r="V1" s="100"/>
      <c r="Y1" s="100" t="s">
        <v>19</v>
      </c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</row>
    <row r="2" spans="1:66" ht="13.5" thickTop="1" x14ac:dyDescent="0.2">
      <c r="A2" s="22" t="s">
        <v>3</v>
      </c>
      <c r="B2" s="99" t="s">
        <v>0</v>
      </c>
      <c r="C2" s="99"/>
      <c r="D2" s="99"/>
      <c r="E2" s="18"/>
      <c r="F2" s="99" t="s">
        <v>2</v>
      </c>
      <c r="G2" s="99"/>
      <c r="H2" s="99"/>
      <c r="I2" s="22" t="s">
        <v>18</v>
      </c>
      <c r="J2" s="22" t="s">
        <v>19</v>
      </c>
      <c r="K2" s="22" t="s">
        <v>25</v>
      </c>
      <c r="L2" s="22" t="s">
        <v>44</v>
      </c>
      <c r="N2" s="28" t="s">
        <v>92</v>
      </c>
      <c r="O2" s="28" t="s">
        <v>27</v>
      </c>
      <c r="P2" s="28" t="s">
        <v>28</v>
      </c>
      <c r="Q2" s="28" t="s">
        <v>26</v>
      </c>
      <c r="R2" s="28" t="s">
        <v>20</v>
      </c>
      <c r="S2" s="28" t="s">
        <v>21</v>
      </c>
      <c r="T2" s="28" t="s">
        <v>22</v>
      </c>
      <c r="U2" s="28" t="s">
        <v>23</v>
      </c>
      <c r="V2" s="28" t="s">
        <v>24</v>
      </c>
      <c r="X2" s="78"/>
      <c r="Y2" s="97">
        <v>1</v>
      </c>
      <c r="Z2" s="97"/>
      <c r="AA2" s="98"/>
      <c r="AB2" s="96">
        <v>2</v>
      </c>
      <c r="AC2" s="97"/>
      <c r="AD2" s="98"/>
      <c r="AE2" s="96">
        <v>3</v>
      </c>
      <c r="AF2" s="97"/>
      <c r="AG2" s="98"/>
      <c r="AH2" s="96">
        <v>4</v>
      </c>
      <c r="AI2" s="97"/>
      <c r="AJ2" s="98"/>
      <c r="AK2" s="96">
        <v>5</v>
      </c>
      <c r="AL2" s="97"/>
      <c r="AM2" s="98"/>
      <c r="AN2" s="96">
        <v>6</v>
      </c>
      <c r="AO2" s="97"/>
      <c r="AP2" s="98"/>
      <c r="AQ2" s="96">
        <v>7</v>
      </c>
      <c r="AR2" s="97"/>
      <c r="AS2" s="98"/>
      <c r="AT2" s="96">
        <v>8</v>
      </c>
      <c r="AU2" s="97"/>
      <c r="AV2" s="98"/>
      <c r="AW2" s="96">
        <v>9</v>
      </c>
      <c r="AX2" s="97"/>
      <c r="AY2" s="98"/>
      <c r="AZ2" s="96">
        <v>10</v>
      </c>
      <c r="BA2" s="97"/>
      <c r="BB2" s="98"/>
      <c r="BC2" s="96">
        <v>11</v>
      </c>
      <c r="BD2" s="97"/>
      <c r="BE2" s="98"/>
      <c r="BF2" s="96">
        <v>12</v>
      </c>
      <c r="BG2" s="97"/>
      <c r="BH2" s="98"/>
      <c r="BI2" s="96">
        <v>13</v>
      </c>
      <c r="BJ2" s="97"/>
      <c r="BK2" s="98"/>
      <c r="BL2" s="96">
        <v>14</v>
      </c>
      <c r="BM2" s="97"/>
      <c r="BN2" s="98"/>
    </row>
    <row r="3" spans="1:66" x14ac:dyDescent="0.2">
      <c r="A3" s="23">
        <v>1</v>
      </c>
      <c r="B3" s="24" t="str">
        <f>IF('Raw Data'!$A$2="","",'Raw Data'!$A$2)</f>
        <v>SqueakSqueakinSqueakSqueakity</v>
      </c>
      <c r="C3" s="45" t="str">
        <f>IF(B3="","",_xlfn.XLOOKUP(B3,'Raw Data'!$P$3:$P$16,'Raw Data'!$Q$3:$Q$16,0,0,1))</f>
        <v>Dave</v>
      </c>
      <c r="D3" s="25">
        <f>IF('Raw Data'!$A$5="","",'Raw Data'!$A$5)</f>
        <v>124.89</v>
      </c>
      <c r="E3" s="18" t="s">
        <v>1</v>
      </c>
      <c r="F3" s="25">
        <f>IF('Raw Data'!$A$8="","",'Raw Data'!$A$8)</f>
        <v>139.93</v>
      </c>
      <c r="G3" s="45" t="str">
        <f>IF(H3="","",_xlfn.XLOOKUP(H3,'Raw Data'!$P$3:$P$16,'Raw Data'!$Q$3:$Q$16,0,0,1))</f>
        <v>Eddie</v>
      </c>
      <c r="H3" s="26" t="str">
        <f>IF('Raw Data'!$A$11="","",'Raw Data'!$A$11)</f>
        <v>The Rescuers vs Medusa</v>
      </c>
      <c r="I3" s="23" t="str">
        <f>IF(B3="","",IF(D3&gt;F3,"W",IF(F3&gt;D3,"L","T")))</f>
        <v>L</v>
      </c>
      <c r="J3" s="23">
        <f>IF(B3="","",IF(A3&gt;14,"N/A",IF(B3="","",COUNTIFS($A$3:$A$173,$A3,$D$3:$D$173,"&gt;"&amp;D3)+1)))</f>
        <v>5</v>
      </c>
      <c r="K3" s="23" t="str">
        <f>IF(B3="","",IF(A3&gt;14,"N/A",IF(J3&lt;7,"W","L")))</f>
        <v>W</v>
      </c>
      <c r="L3" s="25">
        <f>IF(B3="","",IFERROR(D3-F3,""))</f>
        <v>-15.040000000000006</v>
      </c>
      <c r="N3" s="23">
        <f>IF(
    AND(
        IF(AND(P3=1,O3&gt;6),MIN(O3,6),O3)=6,
        P3&gt;1,
        COUNTIFS($P$3:$P$14,1,$O$3:$O$14,"&gt;6")&gt;0
    ),
    7,
    IF(
        AND(P3=1,O3&gt;6),
        MIN(O3,6),
        O3
    )
)</f>
        <v>2</v>
      </c>
      <c r="O3" s="23">
        <f t="shared" ref="O3:O14" si="0">IF(Q3="","",_xlfn.RANK.EQ($R3,$R$3:$R$14)+COUNTIFS($R$3:$R$14,$R3,$U$3:$U$14,"&gt;"&amp;$U3))</f>
        <v>2</v>
      </c>
      <c r="P3" s="29">
        <f>IF(Q3="","",_xlfn.RANK.EQ($R3,$R$3:$R$6)+COUNTIFS($R$3:$R$6,$R3,$U$3:$U$6,"&gt;"&amp;$U3))</f>
        <v>2</v>
      </c>
      <c r="Q3" s="23" t="str">
        <f>IF('Raw Data'!P3="","",'Raw Data'!P3)</f>
        <v>Jafar</v>
      </c>
      <c r="R3" s="23">
        <f>IF(Q3="","",COUNTIFS(Calculations!$B$3:$B$170,$Q3,Calculations!$I$3:$I$170,"W")+COUNTIFS(Calculations!$B$3:$B$170,$Q3,Calculations!$K$3:$K$170,"W"))</f>
        <v>19</v>
      </c>
      <c r="S3" s="23">
        <f>IF(Q3="","",COUNTIFS(Calculations!$B$3:$B$170,$Q3,Calculations!$I$3:$I$170,"L")+COUNTIFS(Calculations!$B$3:$B$170,$Q3,Calculations!$K$3:$K$170,"L"))</f>
        <v>9</v>
      </c>
      <c r="T3" s="23">
        <f>IF(Q3="","",COUNTIFS(Calculations!$B$3:$B$170,$Q3,Calculations!$I$3:$I$170,"T"))</f>
        <v>0</v>
      </c>
      <c r="U3" s="25">
        <f>IF(Q3="","",SUMIF(Calculations!$B$3:$B$170,$Q3,Calculations!$D$3:$D$170))</f>
        <v>1840.37</v>
      </c>
      <c r="V3" s="25">
        <f>IF(Q3="","",SUMIF(Calculations!$B$3:$B$170,$Q3,Calculations!$F$3:$F$170))</f>
        <v>1773.1200000000001</v>
      </c>
      <c r="X3" s="78" t="str">
        <f>Q3</f>
        <v>Jafar</v>
      </c>
      <c r="Y3" s="20">
        <f ca="1">IF('Raw Data'!$A$2="","",_xlfn.RANK.EQ($Z3,$Z$3:$Z$14)+COUNTIFS($Z$3:$Z$14,$Z3,$AA$3:$AA$14,"&gt;"&amp;$AA3))</f>
        <v>7</v>
      </c>
      <c r="Z3" s="20">
        <f>IF('Raw Data'!$A$2="","",COUNTIFS($B:$B, X3, $A:$A, "&lt;=" &amp; $Y$2, $I:$I, "W") + COUNTIFS($B:$B, X3, $A:$A, "&lt;=" &amp; $Y$2, $K:$K, "W"))</f>
        <v>1</v>
      </c>
      <c r="AA3" s="79" cm="1">
        <f t="array" aca="1" ref="AA3" ca="1">IF('Raw Data'!$A$2="","",SUM(OFFSET($D$1, SMALL(IF($B$1:$B$170=X3, ROW($B$1:$B$170)-ROW($B$1)), ROW(INDIRECT("1:"&amp;$Y$2))), 0, 1)))</f>
        <v>113.23</v>
      </c>
      <c r="AB3" s="80">
        <f ca="1">IF('Raw Data'!$B$2="","",_xlfn.RANK.EQ($AC3,$AC$3:$AC$14)+COUNTIFS($AC$3:$AC$14,$AC3,$AD$3:$AD$14,"&gt;"&amp;$AD3))</f>
        <v>2</v>
      </c>
      <c r="AC3" s="20">
        <f>IF('Raw Data'!$B$2="","",COUNTIFS($B:$B,X3,$A:$A,"&lt;="&amp;$AB$2,$I:$I,"W")+COUNTIFS($B:$B,X3,$A:$A,"&lt;="&amp;$AB$2,$K:$K,"W"))</f>
        <v>3</v>
      </c>
      <c r="AD3" s="81" cm="1">
        <f t="array" aca="1" ref="AD3" ca="1">IF('Raw Data'!$B$2="","",SUM(OFFSET($D$1,SMALL(IF($B$1:$B$170=X3,ROW($B$1:$B$170)-ROW($B$1)),ROW(INDIRECT("1:"&amp;$AB$2))),0,1)))</f>
        <v>283.19</v>
      </c>
      <c r="AE3" s="80">
        <f ca="1">IF('Raw Data'!$C$2="","",_xlfn.RANK.EQ($AF3,$AF$3:$AF$14)+COUNTIFS($AF$3:$AF$14,$AF3,$AG$3:$AG$14,"&gt;"&amp;$AG3))</f>
        <v>3</v>
      </c>
      <c r="AF3" s="20">
        <f>IF('Raw Data'!$C$2="","",COUNTIFS($B:$B,X3,$A:$A,"&lt;="&amp;$AE$2,$I:$I,"W")+COUNTIFS($B:$B,X3,$A:$A,"&lt;="&amp;$AE$2,$K:$K,"W"))</f>
        <v>4</v>
      </c>
      <c r="AG3" s="81" cm="1">
        <f t="array" aca="1" ref="AG3" ca="1">IF('Raw Data'!$C$2="","",SUM(OFFSET($D$1,SMALL(IF($B$1:$B$170=X3,ROW($B$1:$B$170)-ROW($B$1)),ROW(INDIRECT("1:"&amp;$AE$2))),0,1)))</f>
        <v>400.8</v>
      </c>
      <c r="AH3" s="80">
        <f ca="1">IF('Raw Data'!$D$2="","",_xlfn.RANK.EQ($AI3,$AI$3:$AI$14)+COUNTIFS($AI$3:$AI$14,$AI3,$AJ$3:$AJ$14,"&gt;"&amp;$AJ3))</f>
        <v>1</v>
      </c>
      <c r="AI3" s="20">
        <f>IF('Raw Data'!$D$2="","",COUNTIFS($B:$B,X3,$A:$A,"&lt;="&amp;$AH$2,$I:$I,"W")+COUNTIFS($B:$B,X3,$A:$A,"&lt;="&amp;$AH$2,$K:$K,"W"))</f>
        <v>6</v>
      </c>
      <c r="AJ3" s="79" cm="1">
        <f t="array" aca="1" ref="AJ3" ca="1">IF('Raw Data'!$D$2="","",SUM(OFFSET($D$1,SMALL(IF($B$1:$B$170=X3,ROW($B$1:$B$170)-ROW($B$1)),ROW(INDIRECT("1:"&amp;$AH$2))),0,1)))</f>
        <v>555.79</v>
      </c>
      <c r="AK3" s="80">
        <f ca="1">IF('Raw Data'!$E$2="","",_xlfn.RANK.EQ($AL3,$AL$3:$AL$14)+COUNTIFS($AL$3:$AL$14,$AL3,$AM$3:$AM$14,"&gt;"&amp;$AM3))</f>
        <v>1</v>
      </c>
      <c r="AL3" s="20">
        <f>IF('Raw Data'!$E$2="","",COUNTIFS($B:$B,X3,$A:$A,"&lt;="&amp;$AK$2,$I:$I,"W")+COUNTIFS($B:$B,X3,$A:$A,"&lt;="&amp;$AK$2,$K:$K,"W"))</f>
        <v>8</v>
      </c>
      <c r="AM3" s="81" cm="1">
        <f t="array" aca="1" ref="AM3" ca="1">IF('Raw Data'!$E$2="","",SUM(OFFSET($D$1,SMALL(IF($B$1:$B$170=X3,ROW($B$1:$B$170)-ROW($B$1)),ROW(INDIRECT("1:"&amp;$AK$2))),0,1)))</f>
        <v>702.74</v>
      </c>
      <c r="AN3" s="80">
        <f ca="1">IF('Raw Data'!$F$2="","",_xlfn.RANK.EQ($AO3,$AO$3:$AO$14)+COUNTIFS($AO$3:$AO$14,$AO3,$AP$3:$AP$14,"&gt;"&amp;$AP3))</f>
        <v>1</v>
      </c>
      <c r="AO3" s="20">
        <f>IF('Raw Data'!$F$2="","",COUNTIFS($B:$B,X3,$A:$A,"&lt;="&amp;$AN$2,$I:$I,"W")+COUNTIFS($B:$B,X3,$A:$A,"&lt;="&amp;$AN$2,$K:$K,"W"))</f>
        <v>10</v>
      </c>
      <c r="AP3" s="81" cm="1">
        <f t="array" aca="1" ref="AP3" ca="1">IF('Raw Data'!$F$2="","",SUM(OFFSET($D$1,SMALL(IF($B$1:$B$170=X3,ROW($B$1:$B$170)-ROW($B$1)),ROW(INDIRECT("1:"&amp;$AN$2))),0,1)))</f>
        <v>832.96</v>
      </c>
      <c r="AQ3" s="80">
        <f ca="1">IF('Raw Data'!$G$2="","",_xlfn.RANK.EQ($AR3,$AR$3:$AR$14)+COUNTIFS($AR$3:$AR$14,$AR3,$AS$3:$AS$14,"&gt;"&amp;$AS3))</f>
        <v>1</v>
      </c>
      <c r="AR3" s="20">
        <f>IF('Raw Data'!$G$2="","",COUNTIFS($B:$B,X3,$A:$A,"&lt;="&amp;$AQ$2,$I:$I,"W")+COUNTIFS($B:$B,X3,$A:$A,"&lt;="&amp;$AQ$2,$K:$K,"W"))</f>
        <v>12</v>
      </c>
      <c r="AS3" s="79" cm="1">
        <f t="array" aca="1" ref="AS3" ca="1">IF('Raw Data'!$G$2="","",SUM(OFFSET($D$1,SMALL(IF($B$1:$B$170=X3,ROW($B$1:$B$170)-ROW($B$1)),ROW(INDIRECT("1:"&amp;$AQ$2))),0,1)))</f>
        <v>989.80000000000007</v>
      </c>
      <c r="AT3" s="80">
        <f ca="1">IF('Raw Data'!$H$2="","",_xlfn.RANK.EQ($AU3,$AU$3:$AU$14)+COUNTIFS($AU$3:$AU$14,$AU3,$AV$3:$AV$14,"&gt;"&amp;$AV3))</f>
        <v>1</v>
      </c>
      <c r="AU3" s="20">
        <f>IF('Raw Data'!$H$2="","",COUNTIFS($B:$B,X3,$A:$A,"&lt;="&amp;$AT$2,$I:$I,"W")+COUNTIFS($B:$B,X3,$A:$A,"&lt;="&amp;$AT$2,$K:$K,"W"))</f>
        <v>12</v>
      </c>
      <c r="AV3" s="79" cm="1">
        <f t="array" aca="1" ref="AV3" ca="1">IF('Raw Data'!$H$2="","",SUM(OFFSET($D$1,SMALL(IF($B$1:$B$170=X3,ROW($B$1:$B$170)-ROW($B$1)),ROW(INDIRECT("1:"&amp;$AT$2))),0,1)))</f>
        <v>1095.72</v>
      </c>
      <c r="AW3" s="80">
        <f ca="1">IF('Raw Data'!$I$2="","",_xlfn.RANK.EQ($AX3,$AX$3:$AX$14)+COUNTIFS($AX$3:$AX$14,$AX3,$AY$3:$AY$14,"&gt;"&amp;$AY3))</f>
        <v>2</v>
      </c>
      <c r="AX3" s="20">
        <f>IF('Raw Data'!$I$2="","",COUNTIFS($B:$B,X3,$A:$A,"&lt;="&amp;$AW$2,$I:$I,"W")+COUNTIFS($B:$B,X3,$A:$A,"&lt;="&amp;$AW$2,$K:$K,"W"))</f>
        <v>13</v>
      </c>
      <c r="AY3" s="79" cm="1">
        <f t="array" aca="1" ref="AY3" ca="1">IF('Raw Data'!$I$2="","",SUM(OFFSET($D$1,SMALL(IF($B$1:$B$170=X3,ROW($B$1:$B$170)-ROW($B$1)),ROW(INDIRECT("1:"&amp;$AW$2))),0,1)))</f>
        <v>1217.98</v>
      </c>
      <c r="AZ3" s="80">
        <f ca="1">IF('Raw Data'!$J$2="","",_xlfn.RANK.EQ($BA3,$BA$3:$BA$14)+COUNTIFS($BA$3:$BA$14,$BA3,$BB$3:$BB$14,"&gt;"&amp;$BB3))</f>
        <v>2</v>
      </c>
      <c r="BA3" s="20">
        <f>IF('Raw Data'!$J$2="","",COUNTIFS($B:$B,X3,$A:$A,"&lt;="&amp;$AZ$2,$I:$I,"W")+COUNTIFS($B:$B,X3,$A:$A,"&lt;="&amp;$AZ$2,$K:$K,"W"))</f>
        <v>14</v>
      </c>
      <c r="BB3" s="79" cm="1">
        <f t="array" aca="1" ref="BB3" ca="1">IF('Raw Data'!$J$2="","",SUM(OFFSET($D$1,SMALL(IF($B$1:$B$170=X3,ROW($B$1:$B$170)-ROW($B$1)),ROW(INDIRECT("1:"&amp;$AZ$2))),0,1)))</f>
        <v>1343.6100000000001</v>
      </c>
      <c r="BC3" s="80">
        <f ca="1">IF('Raw Data'!$K$2="","",_xlfn.RANK.EQ($BD3,$BD$3:$BD$14)+COUNTIFS($BD$3:$BD$14,$BD3,$BE$3:$BE$14,"&gt;"&amp;$BE3))</f>
        <v>2</v>
      </c>
      <c r="BD3" s="20">
        <f>IF('Raw Data'!$K$2="","",COUNTIFS($B:$B,X3,$A:$A,"&lt;="&amp;$BC$2,$I:$I,"W")+COUNTIFS($B:$B,X3,$A:$A,"&lt;="&amp;$BC$2,$K:$K,"W"))</f>
        <v>15</v>
      </c>
      <c r="BE3" s="79" cm="1">
        <f t="array" aca="1" ref="BE3" ca="1">IF('Raw Data'!$K$2="","",SUM(OFFSET($D$1,SMALL(IF($B$1:$B$170=X3,ROW($B$1:$B$170)-ROW($B$1)),ROW(INDIRECT("1:"&amp;$BC$2))),0,1)))</f>
        <v>1464.48</v>
      </c>
      <c r="BF3" s="80">
        <f ca="1">IF('Raw Data'!$L$2="","",_xlfn.RANK.EQ($BG3,$BG$3:$BG$14)+COUNTIFS($BG$3:$BG$14,$BG3,$BH$3:$BH$14,"&gt;"&amp;$BH3))</f>
        <v>2</v>
      </c>
      <c r="BG3" s="20">
        <f>IF('Raw Data'!$L$2="","",COUNTIFS($B:$B,X3,$A:$A,"&lt;="&amp;$BF$2,$I:$I,"W")+COUNTIFS($B:$B,X3,$A:$A,"&lt;="&amp;$BF$2,$K:$K,"W"))</f>
        <v>17</v>
      </c>
      <c r="BH3" s="79" cm="1">
        <f t="array" aca="1" ref="BH3" ca="1">IF('Raw Data'!$L$2="","",SUM(OFFSET($D$1,SMALL(IF($B$1:$B$170=X3,ROW($B$1:$B$170)-ROW($B$1)),ROW(INDIRECT("1:"&amp;$BF$2))),0,1)))</f>
        <v>1601.04</v>
      </c>
      <c r="BI3" s="80">
        <f ca="1">IF('Raw Data'!$M$2="","",_xlfn.RANK.EQ($BJ3,$BJ$3:$BJ$14)+COUNTIFS($BJ$3:$BJ$14,$BJ3,$BK$3:$BK$14,"&gt;"&amp;$BK3))</f>
        <v>2</v>
      </c>
      <c r="BJ3" s="20">
        <f>IF('Raw Data'!$M$2="","",COUNTIFS($B:$B,X3,$A:$A,"&lt;="&amp;$BI$2,$I:$I,"W")+COUNTIFS($B:$B,X3,$A:$A,"&lt;="&amp;$BI$2,$K:$K,"W"))</f>
        <v>18</v>
      </c>
      <c r="BK3" s="79" cm="1">
        <f t="array" aca="1" ref="BK3" ca="1">IF('Raw Data'!$M$2="","",SUM(OFFSET($D$1,SMALL(IF($B$1:$B$170=X3,ROW($B$1:$B$170)-ROW($B$1)),ROW(INDIRECT("1:"&amp;$BI$2))),0,1)))</f>
        <v>1717.28</v>
      </c>
      <c r="BL3" s="80">
        <f ca="1">IF('Raw Data'!$N$2="","",_xlfn.RANK.EQ($BM3,$BM$3:$BM$14)+COUNTIFS($BM$3:$BM$14,$BM3,$BN$3:$BN$14,"&gt;"&amp;$BN3))</f>
        <v>2</v>
      </c>
      <c r="BM3" s="20">
        <f>IF('Raw Data'!$N$2="","",COUNTIFS($B:$B,X3,$A:$A,"&lt;="&amp;$BL$2,$I:$I,"W")+COUNTIFS($B:$B,X3,$A:$A,"&lt;="&amp;$BL$2,$K:$K,"W"))</f>
        <v>19</v>
      </c>
      <c r="BN3" s="79" cm="1">
        <f t="array" aca="1" ref="BN3" ca="1">IF('Raw Data'!$N$2="","",SUM(OFFSET($D$1,SMALL(IF($B$1:$B$170=X3,ROW($B$1:$B$170)-ROW($B$1)),ROW(INDIRECT("1:"&amp;$BL$2))),0,1)))</f>
        <v>1840.37</v>
      </c>
    </row>
    <row r="4" spans="1:66" x14ac:dyDescent="0.2">
      <c r="A4" s="23">
        <v>1</v>
      </c>
      <c r="B4" s="24" t="str">
        <f>IF('Raw Data'!$A$13="","",'Raw Data'!$A$13)</f>
        <v>Prince Abooboo</v>
      </c>
      <c r="C4" s="45" t="str">
        <f>IF(B4="","",_xlfn.XLOOKUP(B4,'Raw Data'!$P$3:$P$16,'Raw Data'!$Q$3:$Q$16,0,0,1))</f>
        <v>Stefan</v>
      </c>
      <c r="D4" s="25">
        <f>IF('Raw Data'!$A$16="","",'Raw Data'!$A$16)</f>
        <v>136.82</v>
      </c>
      <c r="E4" s="18" t="s">
        <v>1</v>
      </c>
      <c r="F4" s="25">
        <f>IF('Raw Data'!$A$19="","",'Raw Data'!$A$19)</f>
        <v>119.28</v>
      </c>
      <c r="G4" s="45" t="str">
        <f>IF(H4="","",_xlfn.XLOOKUP(H4,'Raw Data'!$P$3:$P$16,'Raw Data'!$Q$3:$Q$16,0,0,1))</f>
        <v>Jared</v>
      </c>
      <c r="H4" s="26" t="str">
        <f>IF('Raw Data'!$A$22="","",'Raw Data'!$A$22)</f>
        <v>Tick Tock the Crocodile</v>
      </c>
      <c r="I4" s="23" t="str">
        <f t="shared" ref="I4:I67" si="1">IF(B4="","",IF(D4&gt;F4,"W",IF(F4&gt;D4,"L","T")))</f>
        <v>W</v>
      </c>
      <c r="J4" s="23">
        <f t="shared" ref="J4:J67" si="2">IF(B4="","",IF(A4&gt;14,"N/A",IF(B4="","",COUNTIFS($A$3:$A$173,$A4,$D$3:$D$173,"&gt;"&amp;D4)+1)))</f>
        <v>3</v>
      </c>
      <c r="K4" s="23" t="str">
        <f t="shared" ref="K4:K67" si="3">IF(B4="","",IF(A4&gt;14,"N/A",IF(J4&lt;7,"W","L")))</f>
        <v>W</v>
      </c>
      <c r="L4" s="25">
        <f t="shared" ref="L4:L67" si="4">IF(B4="","",IFERROR(D4-F4,""))</f>
        <v>17.539999999999992</v>
      </c>
      <c r="N4" s="23">
        <f t="shared" ref="N4:N14" si="5">IF(
    AND(
        IF(AND(P4=1,O4&gt;6),MIN(O4,6),O4)=6,
        P4&gt;1,
        COUNTIFS($P$3:$P$14,1,$O$3:$O$14,"&gt;6")&gt;0
    ),
    7,
    IF(
        AND(P4=1,O4&gt;6),
        MIN(O4,6),
        O4
    )
)</f>
        <v>11</v>
      </c>
      <c r="O4" s="23">
        <f t="shared" si="0"/>
        <v>11</v>
      </c>
      <c r="P4" s="29">
        <f>IF(Q4="","",_xlfn.RANK.EQ($R4,$R$3:$R$6)+COUNTIFS($R$3:$R$6,$R4,$U$3:$U$6,"&gt;"&amp;$U4))</f>
        <v>4</v>
      </c>
      <c r="Q4" s="23" t="str">
        <f>IF('Raw Data'!P4="","",'Raw Data'!P4)</f>
        <v>The Goob Troop</v>
      </c>
      <c r="R4" s="23">
        <f>IF(Q4="","",COUNTIFS(Calculations!$B$3:$B$170,$Q4,Calculations!$I$3:$I$170,"W")+COUNTIFS(Calculations!$B$3:$B$170,$Q4,Calculations!$K$3:$K$170,"W"))</f>
        <v>10</v>
      </c>
      <c r="S4" s="23">
        <f>IF(Q4="","",COUNTIFS(Calculations!$B$3:$B$170,$Q4,Calculations!$I$3:$I$170,"L")+COUNTIFS(Calculations!$B$3:$B$170,$Q4,Calculations!$K$3:$K$170,"L"))</f>
        <v>18</v>
      </c>
      <c r="T4" s="23">
        <f>IF(Q4="","",COUNTIFS(Calculations!$B$3:$B$170,$Q4,Calculations!$I$3:$I$170,"T"))</f>
        <v>0</v>
      </c>
      <c r="U4" s="25">
        <f>IF(Q4="","",SUMIF(Calculations!$B$3:$B$170,$Q4,Calculations!$D$3:$D$170))</f>
        <v>1629.92</v>
      </c>
      <c r="V4" s="25">
        <f>IF(Q4="","",SUMIF(Calculations!$B$3:$B$170,$Q4,Calculations!$F$3:$F$170))</f>
        <v>1626.1599999999999</v>
      </c>
      <c r="X4" s="78" t="str">
        <f t="shared" ref="X4:X14" si="6">Q4</f>
        <v>The Goob Troop</v>
      </c>
      <c r="Y4" s="20">
        <f ca="1">IF('Raw Data'!$A$2="","",_xlfn.RANK.EQ($Z4,$Z$3:$Z$14)+COUNTIFS($Z$3:$Z$14,$Z4,$AA$3:$AA$14,"&gt;"&amp;$AA4))</f>
        <v>12</v>
      </c>
      <c r="Z4" s="20">
        <f>IF('Raw Data'!$A$2="","",COUNTIFS($B:$B, X4, $A:$A, "&lt;=" &amp; $Y$2, $I:$I, "W") + COUNTIFS($B:$B, X4, $A:$A, "&lt;=" &amp; $Y$2, $K:$K, "W"))</f>
        <v>0</v>
      </c>
      <c r="AA4" s="79" cm="1">
        <f t="array" aca="1" ref="AA4" ca="1">IF('Raw Data'!$A$2="","",SUM(OFFSET($D$1, SMALL(IF($B$1:$B$170=X4, ROW($B$1:$B$170)-ROW($B$1)), ROW(INDIRECT("1:"&amp;$Y$2))), 0, 1)))</f>
        <v>82.97</v>
      </c>
      <c r="AB4" s="80">
        <f ca="1">IF('Raw Data'!$B$2="","",_xlfn.RANK.EQ($AC4,$AC$3:$AC$14)+COUNTIFS($AC$3:$AC$14,$AC4,$AD$3:$AD$14,"&gt;"&amp;$AD4))</f>
        <v>9</v>
      </c>
      <c r="AC4" s="20">
        <f>IF('Raw Data'!$B$2="","",COUNTIFS($B:$B,X4,$A:$A,"&lt;="&amp;$AB$2,$I:$I,"W")+COUNTIFS($B:$B,X4,$A:$A,"&lt;="&amp;$AB$2,$K:$K,"W"))</f>
        <v>2</v>
      </c>
      <c r="AD4" s="81" cm="1">
        <f t="array" aca="1" ref="AD4" ca="1">IF('Raw Data'!$B$2="","",SUM(OFFSET($D$1,SMALL(IF($B$1:$B$170=X4,ROW($B$1:$B$170)-ROW($B$1)),ROW(INDIRECT("1:"&amp;$AB$2))),0,1)))</f>
        <v>202.29</v>
      </c>
      <c r="AE4" s="80">
        <f ca="1">IF('Raw Data'!$C$2="","",_xlfn.RANK.EQ($AF4,$AF$3:$AF$14)+COUNTIFS($AF$3:$AF$14,$AF4,$AG$3:$AG$14,"&gt;"&amp;$AG4))</f>
        <v>10</v>
      </c>
      <c r="AF4" s="20">
        <f>IF('Raw Data'!$C$2="","",COUNTIFS($B:$B,X4,$A:$A,"&lt;="&amp;$AE$2,$I:$I,"W")+COUNTIFS($B:$B,X4,$A:$A,"&lt;="&amp;$AE$2,$K:$K,"W"))</f>
        <v>2</v>
      </c>
      <c r="AG4" s="81" cm="1">
        <f t="array" aca="1" ref="AG4" ca="1">IF('Raw Data'!$C$2="","",SUM(OFFSET($D$1,SMALL(IF($B$1:$B$170=X4,ROW($B$1:$B$170)-ROW($B$1)),ROW(INDIRECT("1:"&amp;$AE$2))),0,1)))</f>
        <v>299.70999999999998</v>
      </c>
      <c r="AH4" s="80">
        <f ca="1">IF('Raw Data'!$D$2="","",_xlfn.RANK.EQ($AI4,$AI$3:$AI$14)+COUNTIFS($AI$3:$AI$14,$AI4,$AJ$3:$AJ$14,"&gt;"&amp;$AJ4))</f>
        <v>11</v>
      </c>
      <c r="AI4" s="20">
        <f>IF('Raw Data'!$D$2="","",COUNTIFS($B:$B,X4,$A:$A,"&lt;="&amp;$AH$2,$I:$I,"W")+COUNTIFS($B:$B,X4,$A:$A,"&lt;="&amp;$AH$2,$K:$K,"W"))</f>
        <v>2</v>
      </c>
      <c r="AJ4" s="79" cm="1">
        <f t="array" aca="1" ref="AJ4" ca="1">IF('Raw Data'!$D$2="","",SUM(OFFSET($D$1,SMALL(IF($B$1:$B$170=X4,ROW($B$1:$B$170)-ROW($B$1)),ROW(INDIRECT("1:"&amp;$AH$2))),0,1)))</f>
        <v>401.76</v>
      </c>
      <c r="AK4" s="80">
        <f ca="1">IF('Raw Data'!$E$2="","",_xlfn.RANK.EQ($AL4,$AL$3:$AL$14)+COUNTIFS($AL$3:$AL$14,$AL4,$AM$3:$AM$14,"&gt;"&amp;$AM4))</f>
        <v>11</v>
      </c>
      <c r="AL4" s="20">
        <f>IF('Raw Data'!$E$2="","",COUNTIFS($B:$B,X4,$A:$A,"&lt;="&amp;$AK$2,$I:$I,"W")+COUNTIFS($B:$B,X4,$A:$A,"&lt;="&amp;$AK$2,$K:$K,"W"))</f>
        <v>2</v>
      </c>
      <c r="AM4" s="81" cm="1">
        <f t="array" aca="1" ref="AM4" ca="1">IF('Raw Data'!$E$2="","",SUM(OFFSET($D$1,SMALL(IF($B$1:$B$170=X4,ROW($B$1:$B$170)-ROW($B$1)),ROW(INDIRECT("1:"&amp;$AK$2))),0,1)))</f>
        <v>527.97</v>
      </c>
      <c r="AN4" s="80">
        <f ca="1">IF('Raw Data'!$F$2="","",_xlfn.RANK.EQ($AO4,$AO$3:$AO$14)+COUNTIFS($AO$3:$AO$14,$AO4,$AP$3:$AP$14,"&gt;"&amp;$AP4))</f>
        <v>11</v>
      </c>
      <c r="AO4" s="20">
        <f>IF('Raw Data'!$F$2="","",COUNTIFS($B:$B,X4,$A:$A,"&lt;="&amp;$AN$2,$I:$I,"W")+COUNTIFS($B:$B,X4,$A:$A,"&lt;="&amp;$AN$2,$K:$K,"W"))</f>
        <v>2</v>
      </c>
      <c r="AP4" s="81" cm="1">
        <f t="array" aca="1" ref="AP4" ca="1">IF('Raw Data'!$F$2="","",SUM(OFFSET($D$1,SMALL(IF($B$1:$B$170=X4,ROW($B$1:$B$170)-ROW($B$1)),ROW(INDIRECT("1:"&amp;$AN$2))),0,1)))</f>
        <v>637.03</v>
      </c>
      <c r="AQ4" s="80">
        <f ca="1">IF('Raw Data'!$G$2="","",_xlfn.RANK.EQ($AR4,$AR$3:$AR$14)+COUNTIFS($AR$3:$AR$14,$AR4,$AS$3:$AS$14,"&gt;"&amp;$AS4))</f>
        <v>10</v>
      </c>
      <c r="AR4" s="20">
        <f>IF('Raw Data'!$G$2="","",COUNTIFS($B:$B,X4,$A:$A,"&lt;="&amp;$AQ$2,$I:$I,"W")+COUNTIFS($B:$B,X4,$A:$A,"&lt;="&amp;$AQ$2,$K:$K,"W"))</f>
        <v>4</v>
      </c>
      <c r="AS4" s="79" cm="1">
        <f t="array" aca="1" ref="AS4" ca="1">IF('Raw Data'!$G$2="","",SUM(OFFSET($D$1,SMALL(IF($B$1:$B$170=X4,ROW($B$1:$B$170)-ROW($B$1)),ROW(INDIRECT("1:"&amp;$AQ$2))),0,1)))</f>
        <v>790.48</v>
      </c>
      <c r="AT4" s="80">
        <f ca="1">IF('Raw Data'!$H$2="","",_xlfn.RANK.EQ($AU4,$AU$3:$AU$14)+COUNTIFS($AU$3:$AU$14,$AU4,$AV$3:$AV$14,"&gt;"&amp;$AV4))</f>
        <v>11</v>
      </c>
      <c r="AU4" s="20">
        <f>IF('Raw Data'!$H$2="","",COUNTIFS($B:$B,X4,$A:$A,"&lt;="&amp;$AT$2,$I:$I,"W")+COUNTIFS($B:$B,X4,$A:$A,"&lt;="&amp;$AT$2,$K:$K,"W"))</f>
        <v>4</v>
      </c>
      <c r="AV4" s="79" cm="1">
        <f t="array" aca="1" ref="AV4" ca="1">IF('Raw Data'!$H$2="","",SUM(OFFSET($D$1,SMALL(IF($B$1:$B$170=X4,ROW($B$1:$B$170)-ROW($B$1)),ROW(INDIRECT("1:"&amp;$AT$2))),0,1)))</f>
        <v>905.46</v>
      </c>
      <c r="AW4" s="80">
        <f ca="1">IF('Raw Data'!$I$2="","",_xlfn.RANK.EQ($AX4,$AX$3:$AX$14)+COUNTIFS($AX$3:$AX$14,$AX4,$AY$3:$AY$14,"&gt;"&amp;$AY4))</f>
        <v>11</v>
      </c>
      <c r="AX4" s="20">
        <f>IF('Raw Data'!$I$2="","",COUNTIFS($B:$B,X4,$A:$A,"&lt;="&amp;$AW$2,$I:$I,"W")+COUNTIFS($B:$B,X4,$A:$A,"&lt;="&amp;$AW$2,$K:$K,"W"))</f>
        <v>6</v>
      </c>
      <c r="AY4" s="79" cm="1">
        <f t="array" aca="1" ref="AY4" ca="1">IF('Raw Data'!$I$2="","",SUM(OFFSET($D$1,SMALL(IF($B$1:$B$170=X4,ROW($B$1:$B$170)-ROW($B$1)),ROW(INDIRECT("1:"&amp;$AW$2))),0,1)))</f>
        <v>1045.97</v>
      </c>
      <c r="AZ4" s="80">
        <f ca="1">IF('Raw Data'!$J$2="","",_xlfn.RANK.EQ($BA4,$BA$3:$BA$14)+COUNTIFS($BA$3:$BA$14,$BA4,$BB$3:$BB$14,"&gt;"&amp;$BB4))</f>
        <v>10</v>
      </c>
      <c r="BA4" s="20">
        <f>IF('Raw Data'!$J$2="","",COUNTIFS($B:$B,X4,$A:$A,"&lt;="&amp;$AZ$2,$I:$I,"W")+COUNTIFS($B:$B,X4,$A:$A,"&lt;="&amp;$AZ$2,$K:$K,"W"))</f>
        <v>7</v>
      </c>
      <c r="BB4" s="79" cm="1">
        <f t="array" aca="1" ref="BB4" ca="1">IF('Raw Data'!$J$2="","",SUM(OFFSET($D$1,SMALL(IF($B$1:$B$170=X4,ROW($B$1:$B$170)-ROW($B$1)),ROW(INDIRECT("1:"&amp;$AZ$2))),0,1)))</f>
        <v>1170.77</v>
      </c>
      <c r="BC4" s="80">
        <f ca="1">IF('Raw Data'!$K$2="","",_xlfn.RANK.EQ($BD4,$BD$3:$BD$14)+COUNTIFS($BD$3:$BD$14,$BD4,$BE$3:$BE$14,"&gt;"&amp;$BE4))</f>
        <v>11</v>
      </c>
      <c r="BD4" s="20">
        <f>IF('Raw Data'!$K$2="","",COUNTIFS($B:$B,X4,$A:$A,"&lt;="&amp;$BC$2,$I:$I,"W")+COUNTIFS($B:$B,X4,$A:$A,"&lt;="&amp;$BC$2,$K:$K,"W"))</f>
        <v>8</v>
      </c>
      <c r="BE4" s="79" cm="1">
        <f t="array" aca="1" ref="BE4" ca="1">IF('Raw Data'!$K$2="","",SUM(OFFSET($D$1,SMALL(IF($B$1:$B$170=X4,ROW($B$1:$B$170)-ROW($B$1)),ROW(INDIRECT("1:"&amp;$BC$2))),0,1)))</f>
        <v>1280.04</v>
      </c>
      <c r="BF4" s="80">
        <f ca="1">IF('Raw Data'!$L$2="","",_xlfn.RANK.EQ($BG4,$BG$3:$BG$14)+COUNTIFS($BG$3:$BG$14,$BG4,$BH$3:$BH$14,"&gt;"&amp;$BH4))</f>
        <v>11</v>
      </c>
      <c r="BG4" s="20">
        <f>IF('Raw Data'!$L$2="","",COUNTIFS($B:$B,X4,$A:$A,"&lt;="&amp;$BF$2,$I:$I,"W")+COUNTIFS($B:$B,X4,$A:$A,"&lt;="&amp;$BF$2,$K:$K,"W"))</f>
        <v>8</v>
      </c>
      <c r="BH4" s="79" cm="1">
        <f t="array" aca="1" ref="BH4" ca="1">IF('Raw Data'!$L$2="","",SUM(OFFSET($D$1,SMALL(IF($B$1:$B$170=X4,ROW($B$1:$B$170)-ROW($B$1)),ROW(INDIRECT("1:"&amp;$BF$2))),0,1)))</f>
        <v>1401.8799999999999</v>
      </c>
      <c r="BI4" s="80">
        <f ca="1">IF('Raw Data'!$M$2="","",_xlfn.RANK.EQ($BJ4,$BJ$3:$BJ$14)+COUNTIFS($BJ$3:$BJ$14,$BJ4,$BK$3:$BK$14,"&gt;"&amp;$BK4))</f>
        <v>11</v>
      </c>
      <c r="BJ4" s="20">
        <f>IF('Raw Data'!$M$2="","",COUNTIFS($B:$B,X4,$A:$A,"&lt;="&amp;$BI$2,$I:$I,"W")+COUNTIFS($B:$B,X4,$A:$A,"&lt;="&amp;$BI$2,$K:$K,"W"))</f>
        <v>9</v>
      </c>
      <c r="BK4" s="79" cm="1">
        <f t="array" aca="1" ref="BK4" ca="1">IF('Raw Data'!$M$2="","",SUM(OFFSET($D$1,SMALL(IF($B$1:$B$170=X4,ROW($B$1:$B$170)-ROW($B$1)),ROW(INDIRECT("1:"&amp;$BI$2))),0,1)))</f>
        <v>1539.79</v>
      </c>
      <c r="BL4" s="80">
        <f ca="1">IF('Raw Data'!$N$2="","",_xlfn.RANK.EQ($BM4,$BM$3:$BM$14)+COUNTIFS($BM$3:$BM$14,$BM4,$BN$3:$BN$14,"&gt;"&amp;$BN4))</f>
        <v>11</v>
      </c>
      <c r="BM4" s="20">
        <f>IF('Raw Data'!$N$2="","",COUNTIFS($B:$B,X4,$A:$A,"&lt;="&amp;$BL$2,$I:$I,"W")+COUNTIFS($B:$B,X4,$A:$A,"&lt;="&amp;$BL$2,$K:$K,"W"))</f>
        <v>10</v>
      </c>
      <c r="BN4" s="79" cm="1">
        <f t="array" aca="1" ref="BN4" ca="1">IF('Raw Data'!$N$2="","",SUM(OFFSET($D$1,SMALL(IF($B$1:$B$170=X4,ROW($B$1:$B$170)-ROW($B$1)),ROW(INDIRECT("1:"&amp;$BL$2))),0,1)))</f>
        <v>1629.92</v>
      </c>
    </row>
    <row r="5" spans="1:66" x14ac:dyDescent="0.2">
      <c r="A5" s="23">
        <v>1</v>
      </c>
      <c r="B5" s="24" t="str">
        <f>IF('Raw Data'!$A$24="","",'Raw Data'!$A$24)</f>
        <v>Jafar</v>
      </c>
      <c r="C5" s="45" t="str">
        <f>IF(B5="","",_xlfn.XLOOKUP(B5,'Raw Data'!$P$3:$P$16,'Raw Data'!$Q$3:$Q$16,0,0,1))</f>
        <v>Beau</v>
      </c>
      <c r="D5" s="25">
        <f>IF('Raw Data'!$A$27="","",'Raw Data'!$A$27)</f>
        <v>113.23</v>
      </c>
      <c r="E5" s="18" t="s">
        <v>1</v>
      </c>
      <c r="F5" s="25">
        <f>IF('Raw Data'!$A$30="","",'Raw Data'!$A$30)</f>
        <v>106.19</v>
      </c>
      <c r="G5" s="45" t="str">
        <f>IF(H5="","",_xlfn.XLOOKUP(H5,'Raw Data'!$P$3:$P$16,'Raw Data'!$Q$3:$Q$16,0,0,1))</f>
        <v>Rico</v>
      </c>
      <c r="H5" s="26" t="str">
        <f>IF('Raw Data'!$A$33="","",'Raw Data'!$A$33)</f>
        <v>We're all mad here</v>
      </c>
      <c r="I5" s="23" t="str">
        <f t="shared" si="1"/>
        <v>W</v>
      </c>
      <c r="J5" s="23">
        <f t="shared" si="2"/>
        <v>7</v>
      </c>
      <c r="K5" s="23" t="str">
        <f t="shared" si="3"/>
        <v>L</v>
      </c>
      <c r="L5" s="25">
        <f t="shared" si="4"/>
        <v>7.0400000000000063</v>
      </c>
      <c r="N5" s="23">
        <f t="shared" si="5"/>
        <v>1</v>
      </c>
      <c r="O5" s="23">
        <f t="shared" si="0"/>
        <v>1</v>
      </c>
      <c r="P5" s="29">
        <f>IF(Q5="","",_xlfn.RANK.EQ($R5,$R$3:$R$6)+COUNTIFS($R$3:$R$6,$R5,$U$3:$U$6,"&gt;"&amp;$U5))</f>
        <v>1</v>
      </c>
      <c r="Q5" s="23" t="str">
        <f>IF('Raw Data'!P5="","",'Raw Data'!P5)</f>
        <v>Herbie's Honkers</v>
      </c>
      <c r="R5" s="23">
        <f>IF(Q5="","",COUNTIFS(Calculations!$B$3:$B$170,$Q5,Calculations!$I$3:$I$170,"W")+COUNTIFS(Calculations!$B$3:$B$170,$Q5,Calculations!$K$3:$K$170,"W"))</f>
        <v>21</v>
      </c>
      <c r="S5" s="23">
        <f>IF(Q5="","",COUNTIFS(Calculations!$B$3:$B$170,$Q5,Calculations!$I$3:$I$170,"L")+COUNTIFS(Calculations!$B$3:$B$170,$Q5,Calculations!$K$3:$K$170,"L"))</f>
        <v>7</v>
      </c>
      <c r="T5" s="23">
        <f>IF(Q5="","",COUNTIFS(Calculations!$B$3:$B$170,$Q5,Calculations!$I$3:$I$170,"T"))</f>
        <v>0</v>
      </c>
      <c r="U5" s="25">
        <f>IF(Q5="","",SUMIF(Calculations!$B$3:$B$170,$Q5,Calculations!$D$3:$D$170))</f>
        <v>1948.8900000000003</v>
      </c>
      <c r="V5" s="25">
        <f>IF(Q5="","",SUMIF(Calculations!$B$3:$B$170,$Q5,Calculations!$F$3:$F$170))</f>
        <v>1827.34</v>
      </c>
      <c r="X5" s="78" t="str">
        <f t="shared" si="6"/>
        <v>Herbie's Honkers</v>
      </c>
      <c r="Y5" s="20">
        <f ca="1">IF('Raw Data'!$A$2="","",_xlfn.RANK.EQ($Z5,$Z$3:$Z$14)+COUNTIFS($Z$3:$Z$14,$Z5,$AA$3:$AA$14,"&gt;"&amp;$AA5))</f>
        <v>1</v>
      </c>
      <c r="Z5" s="20">
        <f>IF('Raw Data'!$A$2="","",COUNTIFS($B:$B, X5, $A:$A, "&lt;=" &amp; $Y$2, $I:$I, "W") + COUNTIFS($B:$B, X5, $A:$A, "&lt;=" &amp; $Y$2, $K:$K, "W"))</f>
        <v>2</v>
      </c>
      <c r="AA5" s="79" cm="1">
        <f t="array" aca="1" ref="AA5" ca="1">IF('Raw Data'!$A$2="","",SUM(OFFSET($D$1, SMALL(IF($B$1:$B$170=X5, ROW($B$1:$B$170)-ROW($B$1)), ROW(INDIRECT("1:"&amp;$Y$2))), 0, 1)))</f>
        <v>144.62</v>
      </c>
      <c r="AB5" s="80">
        <f ca="1">IF('Raw Data'!$B$2="","",_xlfn.RANK.EQ($AC5,$AC$3:$AC$14)+COUNTIFS($AC$3:$AC$14,$AC5,$AD$3:$AD$14,"&gt;"&amp;$AD5))</f>
        <v>4</v>
      </c>
      <c r="AC5" s="20">
        <f>IF('Raw Data'!$B$2="","",COUNTIFS($B:$B,X5,$A:$A,"&lt;="&amp;$AB$2,$I:$I,"W")+COUNTIFS($B:$B,X5,$A:$A,"&lt;="&amp;$AB$2,$K:$K,"W"))</f>
        <v>2</v>
      </c>
      <c r="AD5" s="81" cm="1">
        <f t="array" aca="1" ref="AD5" ca="1">IF('Raw Data'!$B$2="","",SUM(OFFSET($D$1,SMALL(IF($B$1:$B$170=X5,ROW($B$1:$B$170)-ROW($B$1)),ROW(INDIRECT("1:"&amp;$AB$2))),0,1)))</f>
        <v>259.43</v>
      </c>
      <c r="AE5" s="80">
        <f ca="1">IF('Raw Data'!$C$2="","",_xlfn.RANK.EQ($AF5,$AF$3:$AF$14)+COUNTIFS($AF$3:$AF$14,$AF5,$AG$3:$AG$14,"&gt;"&amp;$AG5))</f>
        <v>2</v>
      </c>
      <c r="AF5" s="20">
        <f>IF('Raw Data'!$C$2="","",COUNTIFS($B:$B,X5,$A:$A,"&lt;="&amp;$AE$2,$I:$I,"W")+COUNTIFS($B:$B,X5,$A:$A,"&lt;="&amp;$AE$2,$K:$K,"W"))</f>
        <v>4</v>
      </c>
      <c r="AG5" s="81" cm="1">
        <f t="array" aca="1" ref="AG5" ca="1">IF('Raw Data'!$C$2="","",SUM(OFFSET($D$1,SMALL(IF($B$1:$B$170=X5,ROW($B$1:$B$170)-ROW($B$1)),ROW(INDIRECT("1:"&amp;$AE$2))),0,1)))</f>
        <v>411.18</v>
      </c>
      <c r="AH5" s="80">
        <f ca="1">IF('Raw Data'!$D$2="","",_xlfn.RANK.EQ($AI5,$AI$3:$AI$14)+COUNTIFS($AI$3:$AI$14,$AI5,$AJ$3:$AJ$14,"&gt;"&amp;$AJ5))</f>
        <v>4</v>
      </c>
      <c r="AI5" s="20">
        <f>IF('Raw Data'!$D$2="","",COUNTIFS($B:$B,X5,$A:$A,"&lt;="&amp;$AH$2,$I:$I,"W")+COUNTIFS($B:$B,X5,$A:$A,"&lt;="&amp;$AH$2,$K:$K,"W"))</f>
        <v>5</v>
      </c>
      <c r="AJ5" s="79" cm="1">
        <f t="array" aca="1" ref="AJ5" ca="1">IF('Raw Data'!$D$2="","",SUM(OFFSET($D$1,SMALL(IF($B$1:$B$170=X5,ROW($B$1:$B$170)-ROW($B$1)),ROW(INDIRECT("1:"&amp;$AH$2))),0,1)))</f>
        <v>561.69000000000005</v>
      </c>
      <c r="AK5" s="80">
        <f ca="1">IF('Raw Data'!$E$2="","",_xlfn.RANK.EQ($AL5,$AL$3:$AL$14)+COUNTIFS($AL$3:$AL$14,$AL5,$AM$3:$AM$14,"&gt;"&amp;$AM5))</f>
        <v>3</v>
      </c>
      <c r="AL5" s="20">
        <f>IF('Raw Data'!$E$2="","",COUNTIFS($B:$B,X5,$A:$A,"&lt;="&amp;$AK$2,$I:$I,"W")+COUNTIFS($B:$B,X5,$A:$A,"&lt;="&amp;$AK$2,$K:$K,"W"))</f>
        <v>7</v>
      </c>
      <c r="AM5" s="81" cm="1">
        <f t="array" aca="1" ref="AM5" ca="1">IF('Raw Data'!$E$2="","",SUM(OFFSET($D$1,SMALL(IF($B$1:$B$170=X5,ROW($B$1:$B$170)-ROW($B$1)),ROW(INDIRECT("1:"&amp;$AK$2))),0,1)))</f>
        <v>722.38000000000011</v>
      </c>
      <c r="AN5" s="80">
        <f ca="1">IF('Raw Data'!$F$2="","",_xlfn.RANK.EQ($AO5,$AO$3:$AO$14)+COUNTIFS($AO$3:$AO$14,$AO5,$AP$3:$AP$14,"&gt;"&amp;$AP5))</f>
        <v>2</v>
      </c>
      <c r="AO5" s="20">
        <f>IF('Raw Data'!$F$2="","",COUNTIFS($B:$B,X5,$A:$A,"&lt;="&amp;$AN$2,$I:$I,"W")+COUNTIFS($B:$B,X5,$A:$A,"&lt;="&amp;$AN$2,$K:$K,"W"))</f>
        <v>9</v>
      </c>
      <c r="AP5" s="81" cm="1">
        <f t="array" aca="1" ref="AP5" ca="1">IF('Raw Data'!$F$2="","",SUM(OFFSET($D$1,SMALL(IF($B$1:$B$170=X5,ROW($B$1:$B$170)-ROW($B$1)),ROW(INDIRECT("1:"&amp;$AN$2))),0,1)))</f>
        <v>848.69</v>
      </c>
      <c r="AQ5" s="80">
        <f ca="1">IF('Raw Data'!$G$2="","",_xlfn.RANK.EQ($AR5,$AR$3:$AR$14)+COUNTIFS($AR$3:$AR$14,$AR5,$AS$3:$AS$14,"&gt;"&amp;$AS5))</f>
        <v>2</v>
      </c>
      <c r="AR5" s="20">
        <f>IF('Raw Data'!$G$2="","",COUNTIFS($B:$B,X5,$A:$A,"&lt;="&amp;$AQ$2,$I:$I,"W")+COUNTIFS($B:$B,X5,$A:$A,"&lt;="&amp;$AQ$2,$K:$K,"W"))</f>
        <v>11</v>
      </c>
      <c r="AS5" s="79" cm="1">
        <f t="array" aca="1" ref="AS5" ca="1">IF('Raw Data'!$G$2="","",SUM(OFFSET($D$1,SMALL(IF($B$1:$B$170=X5,ROW($B$1:$B$170)-ROW($B$1)),ROW(INDIRECT("1:"&amp;$AQ$2))),0,1)))</f>
        <v>1008.44</v>
      </c>
      <c r="AT5" s="80">
        <f ca="1">IF('Raw Data'!$H$2="","",_xlfn.RANK.EQ($AU5,$AU$3:$AU$14)+COUNTIFS($AU$3:$AU$14,$AU5,$AV$3:$AV$14,"&gt;"&amp;$AV5))</f>
        <v>2</v>
      </c>
      <c r="AU5" s="20">
        <f>IF('Raw Data'!$H$2="","",COUNTIFS($B:$B,X5,$A:$A,"&lt;="&amp;$AT$2,$I:$I,"W")+COUNTIFS($B:$B,X5,$A:$A,"&lt;="&amp;$AT$2,$K:$K,"W"))</f>
        <v>11</v>
      </c>
      <c r="AV5" s="79" cm="1">
        <f t="array" aca="1" ref="AV5" ca="1">IF('Raw Data'!$H$2="","",SUM(OFFSET($D$1,SMALL(IF($B$1:$B$170=X5,ROW($B$1:$B$170)-ROW($B$1)),ROW(INDIRECT("1:"&amp;$AT$2))),0,1)))</f>
        <v>1102.5700000000002</v>
      </c>
      <c r="AW5" s="80">
        <f ca="1">IF('Raw Data'!$I$2="","",_xlfn.RANK.EQ($AX5,$AX$3:$AX$14)+COUNTIFS($AX$3:$AX$14,$AX5,$AY$3:$AY$14,"&gt;"&amp;$AY5))</f>
        <v>1</v>
      </c>
      <c r="AX5" s="20">
        <f>IF('Raw Data'!$I$2="","",COUNTIFS($B:$B,X5,$A:$A,"&lt;="&amp;$AW$2,$I:$I,"W")+COUNTIFS($B:$B,X5,$A:$A,"&lt;="&amp;$AW$2,$K:$K,"W"))</f>
        <v>13</v>
      </c>
      <c r="AY5" s="79" cm="1">
        <f t="array" aca="1" ref="AY5" ca="1">IF('Raw Data'!$I$2="","",SUM(OFFSET($D$1,SMALL(IF($B$1:$B$170=X5,ROW($B$1:$B$170)-ROW($B$1)),ROW(INDIRECT("1:"&amp;$AW$2))),0,1)))</f>
        <v>1254.8000000000002</v>
      </c>
      <c r="AZ5" s="80">
        <f ca="1">IF('Raw Data'!$J$2="","",_xlfn.RANK.EQ($BA5,$BA$3:$BA$14)+COUNTIFS($BA$3:$BA$14,$BA5,$BB$3:$BB$14,"&gt;"&amp;$BB5))</f>
        <v>1</v>
      </c>
      <c r="BA5" s="20">
        <f>IF('Raw Data'!$J$2="","",COUNTIFS($B:$B,X5,$A:$A,"&lt;="&amp;$AZ$2,$I:$I,"W")+COUNTIFS($B:$B,X5,$A:$A,"&lt;="&amp;$AZ$2,$K:$K,"W"))</f>
        <v>15</v>
      </c>
      <c r="BB5" s="79" cm="1">
        <f t="array" aca="1" ref="BB5" ca="1">IF('Raw Data'!$J$2="","",SUM(OFFSET($D$1,SMALL(IF($B$1:$B$170=X5,ROW($B$1:$B$170)-ROW($B$1)),ROW(INDIRECT("1:"&amp;$AZ$2))),0,1)))</f>
        <v>1417.3300000000002</v>
      </c>
      <c r="BC5" s="80">
        <f ca="1">IF('Raw Data'!$K$2="","",_xlfn.RANK.EQ($BD5,$BD$3:$BD$14)+COUNTIFS($BD$3:$BD$14,$BD5,$BE$3:$BE$14,"&gt;"&amp;$BE5))</f>
        <v>1</v>
      </c>
      <c r="BD5" s="20">
        <f>IF('Raw Data'!$K$2="","",COUNTIFS($B:$B,X5,$A:$A,"&lt;="&amp;$BC$2,$I:$I,"W")+COUNTIFS($B:$B,X5,$A:$A,"&lt;="&amp;$BC$2,$K:$K,"W"))</f>
        <v>16</v>
      </c>
      <c r="BE5" s="79" cm="1">
        <f t="array" aca="1" ref="BE5" ca="1">IF('Raw Data'!$K$2="","",SUM(OFFSET($D$1,SMALL(IF($B$1:$B$170=X5,ROW($B$1:$B$170)-ROW($B$1)),ROW(INDIRECT("1:"&amp;$BC$2))),0,1)))</f>
        <v>1547.4500000000003</v>
      </c>
      <c r="BF5" s="80">
        <f ca="1">IF('Raw Data'!$L$2="","",_xlfn.RANK.EQ($BG5,$BG$3:$BG$14)+COUNTIFS($BG$3:$BG$14,$BG5,$BH$3:$BH$14,"&gt;"&amp;$BH5))</f>
        <v>1</v>
      </c>
      <c r="BG5" s="20">
        <f>IF('Raw Data'!$L$2="","",COUNTIFS($B:$B,X5,$A:$A,"&lt;="&amp;$BF$2,$I:$I,"W")+COUNTIFS($B:$B,X5,$A:$A,"&lt;="&amp;$BF$2,$K:$K,"W"))</f>
        <v>17</v>
      </c>
      <c r="BH5" s="79" cm="1">
        <f t="array" aca="1" ref="BH5" ca="1">IF('Raw Data'!$L$2="","",SUM(OFFSET($D$1,SMALL(IF($B$1:$B$170=X5,ROW($B$1:$B$170)-ROW($B$1)),ROW(INDIRECT("1:"&amp;$BF$2))),0,1)))</f>
        <v>1668.5000000000002</v>
      </c>
      <c r="BI5" s="80">
        <f ca="1">IF('Raw Data'!$M$2="","",_xlfn.RANK.EQ($BJ5,$BJ$3:$BJ$14)+COUNTIFS($BJ$3:$BJ$14,$BJ5,$BK$3:$BK$14,"&gt;"&amp;$BK5))</f>
        <v>1</v>
      </c>
      <c r="BJ5" s="20">
        <f>IF('Raw Data'!$M$2="","",COUNTIFS($B:$B,X5,$A:$A,"&lt;="&amp;$BI$2,$I:$I,"W")+COUNTIFS($B:$B,X5,$A:$A,"&lt;="&amp;$BI$2,$K:$K,"W"))</f>
        <v>19</v>
      </c>
      <c r="BK5" s="79" cm="1">
        <f t="array" aca="1" ref="BK5" ca="1">IF('Raw Data'!$M$2="","",SUM(OFFSET($D$1,SMALL(IF($B$1:$B$170=X5,ROW($B$1:$B$170)-ROW($B$1)),ROW(INDIRECT("1:"&amp;$BI$2))),0,1)))</f>
        <v>1814.4300000000003</v>
      </c>
      <c r="BL5" s="80">
        <f ca="1">IF('Raw Data'!$N$2="","",_xlfn.RANK.EQ($BM5,$BM$3:$BM$14)+COUNTIFS($BM$3:$BM$14,$BM5,$BN$3:$BN$14,"&gt;"&amp;$BN5))</f>
        <v>1</v>
      </c>
      <c r="BM5" s="20">
        <f>IF('Raw Data'!$N$2="","",COUNTIFS($B:$B,X5,$A:$A,"&lt;="&amp;$BL$2,$I:$I,"W")+COUNTIFS($B:$B,X5,$A:$A,"&lt;="&amp;$BL$2,$K:$K,"W"))</f>
        <v>21</v>
      </c>
      <c r="BN5" s="79" cm="1">
        <f t="array" aca="1" ref="BN5" ca="1">IF('Raw Data'!$N$2="","",SUM(OFFSET($D$1,SMALL(IF($B$1:$B$170=X5,ROW($B$1:$B$170)-ROW($B$1)),ROW(INDIRECT("1:"&amp;$BL$2))),0,1)))</f>
        <v>1948.8900000000003</v>
      </c>
    </row>
    <row r="6" spans="1:66" x14ac:dyDescent="0.2">
      <c r="A6" s="23">
        <v>1</v>
      </c>
      <c r="B6" s="24" t="str">
        <f>IF('Raw Data'!$A$35="","",'Raw Data'!$A$35)</f>
        <v>The Goob Troop</v>
      </c>
      <c r="C6" s="45" t="str">
        <f>IF(B6="","",_xlfn.XLOOKUP(B6,'Raw Data'!$P$3:$P$16,'Raw Data'!$Q$3:$Q$16,0,0,1))</f>
        <v>Justin</v>
      </c>
      <c r="D6" s="25">
        <f>IF('Raw Data'!$A$38="","",'Raw Data'!$A$38)</f>
        <v>82.97</v>
      </c>
      <c r="E6" s="18" t="s">
        <v>1</v>
      </c>
      <c r="F6" s="25">
        <f>IF('Raw Data'!$A$41="","",'Raw Data'!$A$41)</f>
        <v>125.82</v>
      </c>
      <c r="G6" s="45" t="str">
        <f>IF(H6="","",_xlfn.XLOOKUP(H6,'Raw Data'!$P$3:$P$16,'Raw Data'!$Q$3:$Q$16,0,0,1))</f>
        <v>Steve</v>
      </c>
      <c r="H6" s="26" t="str">
        <f>IF('Raw Data'!$A$44="","",'Raw Data'!$A$44)</f>
        <v>5 Dozen Eggs by Gaston</v>
      </c>
      <c r="I6" s="23" t="str">
        <f t="shared" si="1"/>
        <v>L</v>
      </c>
      <c r="J6" s="23">
        <f t="shared" si="2"/>
        <v>12</v>
      </c>
      <c r="K6" s="23" t="str">
        <f t="shared" si="3"/>
        <v>L</v>
      </c>
      <c r="L6" s="25">
        <f t="shared" si="4"/>
        <v>-42.849999999999994</v>
      </c>
      <c r="N6" s="30">
        <f t="shared" si="5"/>
        <v>6</v>
      </c>
      <c r="O6" s="30">
        <f t="shared" si="0"/>
        <v>6</v>
      </c>
      <c r="P6" s="31">
        <f>IF(Q6="","",_xlfn.RANK.EQ($R6,$R$3:$R$6)+COUNTIFS($R$3:$R$6,$R6,$U$3:$U$6,"&gt;"&amp;$U6))</f>
        <v>3</v>
      </c>
      <c r="Q6" s="30" t="str">
        <f>IF('Raw Data'!P6="","",'Raw Data'!P6)</f>
        <v>Stupid Smartass Psycho</v>
      </c>
      <c r="R6" s="30">
        <f>IF(Q6="","",COUNTIFS(Calculations!$B$3:$B$170,$Q6,Calculations!$I$3:$I$170,"W")+COUNTIFS(Calculations!$B$3:$B$170,$Q6,Calculations!$K$3:$K$170,"W"))</f>
        <v>14</v>
      </c>
      <c r="S6" s="30">
        <f>IF(Q6="","",COUNTIFS(Calculations!$B$3:$B$170,$Q6,Calculations!$I$3:$I$170,"L")+COUNTIFS(Calculations!$B$3:$B$170,$Q6,Calculations!$K$3:$K$170,"L"))</f>
        <v>14</v>
      </c>
      <c r="T6" s="30">
        <f>IF(Q6="","",COUNTIFS(Calculations!$B$3:$B$170,$Q6,Calculations!$I$3:$I$170,"T"))</f>
        <v>0</v>
      </c>
      <c r="U6" s="32">
        <f>IF(Q6="","",SUMIF(Calculations!$B$3:$B$170,$Q6,Calculations!$D$3:$D$170))</f>
        <v>1699.94</v>
      </c>
      <c r="V6" s="32">
        <f>IF(Q6="","",SUMIF(Calculations!$B$3:$B$170,$Q6,Calculations!$F$3:$F$170))</f>
        <v>1635.94</v>
      </c>
      <c r="X6" s="78" t="str">
        <f t="shared" si="6"/>
        <v>Stupid Smartass Psycho</v>
      </c>
      <c r="Y6" s="20">
        <f ca="1">IF('Raw Data'!$A$2="","",_xlfn.RANK.EQ($Z6,$Z$3:$Z$14)+COUNTIFS($Z$3:$Z$14,$Z6,$AA$3:$AA$14,"&gt;"&amp;$AA6))</f>
        <v>8</v>
      </c>
      <c r="Z6" s="20">
        <f>IF('Raw Data'!$A$2="","",COUNTIFS($B:$B, X6, $A:$A, "&lt;=" &amp; $Y$2, $I:$I, "W") + COUNTIFS($B:$B, X6, $A:$A, "&lt;=" &amp; $Y$2, $K:$K, "W"))</f>
        <v>1</v>
      </c>
      <c r="AA6" s="79" cm="1">
        <f t="array" aca="1" ref="AA6" ca="1">IF('Raw Data'!$A$2="","",SUM(OFFSET($D$1, SMALL(IF($B$1:$B$170=X6, ROW($B$1:$B$170)-ROW($B$1)), ROW(INDIRECT("1:"&amp;$Y$2))), 0, 1)))</f>
        <v>107.42</v>
      </c>
      <c r="AB6" s="80">
        <f ca="1">IF('Raw Data'!$B$2="","",_xlfn.RANK.EQ($AC6,$AC$3:$AC$14)+COUNTIFS($AC$3:$AC$14,$AC6,$AD$3:$AD$14,"&gt;"&amp;$AD6))</f>
        <v>6</v>
      </c>
      <c r="AC6" s="20">
        <f>IF('Raw Data'!$B$2="","",COUNTIFS($B:$B,X6,$A:$A,"&lt;="&amp;$AB$2,$I:$I,"W")+COUNTIFS($B:$B,X6,$A:$A,"&lt;="&amp;$AB$2,$K:$K,"W"))</f>
        <v>2</v>
      </c>
      <c r="AD6" s="81" cm="1">
        <f t="array" aca="1" ref="AD6" ca="1">IF('Raw Data'!$B$2="","",SUM(OFFSET($D$1,SMALL(IF($B$1:$B$170=X6,ROW($B$1:$B$170)-ROW($B$1)),ROW(INDIRECT("1:"&amp;$AB$2))),0,1)))</f>
        <v>245.82</v>
      </c>
      <c r="AE6" s="80">
        <f ca="1">IF('Raw Data'!$C$2="","",_xlfn.RANK.EQ($AF6,$AF$3:$AF$14)+COUNTIFS($AF$3:$AF$14,$AF6,$AG$3:$AG$14,"&gt;"&amp;$AG6))</f>
        <v>7</v>
      </c>
      <c r="AF6" s="20">
        <f>IF('Raw Data'!$C$2="","",COUNTIFS($B:$B,X6,$A:$A,"&lt;="&amp;$AE$2,$I:$I,"W")+COUNTIFS($B:$B,X6,$A:$A,"&lt;="&amp;$AE$2,$K:$K,"W"))</f>
        <v>3</v>
      </c>
      <c r="AG6" s="81" cm="1">
        <f t="array" aca="1" ref="AG6" ca="1">IF('Raw Data'!$C$2="","",SUM(OFFSET($D$1,SMALL(IF($B$1:$B$170=X6,ROW($B$1:$B$170)-ROW($B$1)),ROW(INDIRECT("1:"&amp;$AE$2))),0,1)))</f>
        <v>370.53</v>
      </c>
      <c r="AH6" s="80">
        <f ca="1">IF('Raw Data'!$D$2="","",_xlfn.RANK.EQ($AI6,$AI$3:$AI$14)+COUNTIFS($AI$3:$AI$14,$AI6,$AJ$3:$AJ$14,"&gt;"&amp;$AJ6))</f>
        <v>6</v>
      </c>
      <c r="AI6" s="20">
        <f>IF('Raw Data'!$D$2="","",COUNTIFS($B:$B,X6,$A:$A,"&lt;="&amp;$AH$2,$I:$I,"W")+COUNTIFS($B:$B,X6,$A:$A,"&lt;="&amp;$AH$2,$K:$K,"W"))</f>
        <v>4</v>
      </c>
      <c r="AJ6" s="79" cm="1">
        <f t="array" aca="1" ref="AJ6" ca="1">IF('Raw Data'!$D$2="","",SUM(OFFSET($D$1,SMALL(IF($B$1:$B$170=X6,ROW($B$1:$B$170)-ROW($B$1)),ROW(INDIRECT("1:"&amp;$AH$2))),0,1)))</f>
        <v>497.4</v>
      </c>
      <c r="AK6" s="80">
        <f ca="1">IF('Raw Data'!$E$2="","",_xlfn.RANK.EQ($AL6,$AL$3:$AL$14)+COUNTIFS($AL$3:$AL$14,$AL6,$AM$3:$AM$14,"&gt;"&amp;$AM6))</f>
        <v>7</v>
      </c>
      <c r="AL6" s="20">
        <f>IF('Raw Data'!$E$2="","",COUNTIFS($B:$B,X6,$A:$A,"&lt;="&amp;$AK$2,$I:$I,"W")+COUNTIFS($B:$B,X6,$A:$A,"&lt;="&amp;$AK$2,$K:$K,"W"))</f>
        <v>5</v>
      </c>
      <c r="AM6" s="81" cm="1">
        <f t="array" aca="1" ref="AM6" ca="1">IF('Raw Data'!$E$2="","",SUM(OFFSET($D$1,SMALL(IF($B$1:$B$170=X6,ROW($B$1:$B$170)-ROW($B$1)),ROW(INDIRECT("1:"&amp;$AK$2))),0,1)))</f>
        <v>612.19999999999993</v>
      </c>
      <c r="AN6" s="80">
        <f ca="1">IF('Raw Data'!$F$2="","",_xlfn.RANK.EQ($AO6,$AO$3:$AO$14)+COUNTIFS($AO$3:$AO$14,$AO6,$AP$3:$AP$14,"&gt;"&amp;$AP6))</f>
        <v>6</v>
      </c>
      <c r="AO6" s="20">
        <f>IF('Raw Data'!$F$2="","",COUNTIFS($B:$B,X6,$A:$A,"&lt;="&amp;$AN$2,$I:$I,"W")+COUNTIFS($B:$B,X6,$A:$A,"&lt;="&amp;$AN$2,$K:$K,"W"))</f>
        <v>7</v>
      </c>
      <c r="AP6" s="81" cm="1">
        <f t="array" aca="1" ref="AP6" ca="1">IF('Raw Data'!$F$2="","",SUM(OFFSET($D$1,SMALL(IF($B$1:$B$170=X6,ROW($B$1:$B$170)-ROW($B$1)),ROW(INDIRECT("1:"&amp;$AN$2))),0,1)))</f>
        <v>743.69999999999993</v>
      </c>
      <c r="AQ6" s="80">
        <f ca="1">IF('Raw Data'!$G$2="","",_xlfn.RANK.EQ($AR6,$AR$3:$AR$14)+COUNTIFS($AR$3:$AR$14,$AR6,$AS$3:$AS$14,"&gt;"&amp;$AS6))</f>
        <v>7</v>
      </c>
      <c r="AR6" s="20">
        <f>IF('Raw Data'!$G$2="","",COUNTIFS($B:$B,X6,$A:$A,"&lt;="&amp;$AQ$2,$I:$I,"W")+COUNTIFS($B:$B,X6,$A:$A,"&lt;="&amp;$AQ$2,$K:$K,"W"))</f>
        <v>7</v>
      </c>
      <c r="AS6" s="79" cm="1">
        <f t="array" aca="1" ref="AS6" ca="1">IF('Raw Data'!$G$2="","",SUM(OFFSET($D$1,SMALL(IF($B$1:$B$170=X6,ROW($B$1:$B$170)-ROW($B$1)),ROW(INDIRECT("1:"&amp;$AQ$2))),0,1)))</f>
        <v>858.24999999999989</v>
      </c>
      <c r="AT6" s="80">
        <f ca="1">IF('Raw Data'!$H$2="","",_xlfn.RANK.EQ($AU6,$AU$3:$AU$14)+COUNTIFS($AU$3:$AU$14,$AU6,$AV$3:$AV$14,"&gt;"&amp;$AV6))</f>
        <v>5</v>
      </c>
      <c r="AU6" s="20">
        <f>IF('Raw Data'!$H$2="","",COUNTIFS($B:$B,X6,$A:$A,"&lt;="&amp;$AT$2,$I:$I,"W")+COUNTIFS($B:$B,X6,$A:$A,"&lt;="&amp;$AT$2,$K:$K,"W"))</f>
        <v>9</v>
      </c>
      <c r="AV6" s="79" cm="1">
        <f t="array" aca="1" ref="AV6" ca="1">IF('Raw Data'!$H$2="","",SUM(OFFSET($D$1,SMALL(IF($B$1:$B$170=X6,ROW($B$1:$B$170)-ROW($B$1)),ROW(INDIRECT("1:"&amp;$AT$2))),0,1)))</f>
        <v>1022.4699999999999</v>
      </c>
      <c r="AW6" s="80">
        <f ca="1">IF('Raw Data'!$I$2="","",_xlfn.RANK.EQ($AX6,$AX$3:$AX$14)+COUNTIFS($AX$3:$AX$14,$AX6,$AY$3:$AY$14,"&gt;"&amp;$AY6))</f>
        <v>5</v>
      </c>
      <c r="AX6" s="20">
        <f>IF('Raw Data'!$I$2="","",COUNTIFS($B:$B,X6,$A:$A,"&lt;="&amp;$AW$2,$I:$I,"W")+COUNTIFS($B:$B,X6,$A:$A,"&lt;="&amp;$AW$2,$K:$K,"W"))</f>
        <v>11</v>
      </c>
      <c r="AY6" s="79" cm="1">
        <f t="array" aca="1" ref="AY6" ca="1">IF('Raw Data'!$I$2="","",SUM(OFFSET($D$1,SMALL(IF($B$1:$B$170=X6,ROW($B$1:$B$170)-ROW($B$1)),ROW(INDIRECT("1:"&amp;$AW$2))),0,1)))</f>
        <v>1171.51</v>
      </c>
      <c r="AZ6" s="80">
        <f ca="1">IF('Raw Data'!$J$2="","",_xlfn.RANK.EQ($BA6,$BA$3:$BA$14)+COUNTIFS($BA$3:$BA$14,$BA6,$BB$3:$BB$14,"&gt;"&amp;$BB6))</f>
        <v>3</v>
      </c>
      <c r="BA6" s="20">
        <f>IF('Raw Data'!$J$2="","",COUNTIFS($B:$B,X6,$A:$A,"&lt;="&amp;$AZ$2,$I:$I,"W")+COUNTIFS($B:$B,X6,$A:$A,"&lt;="&amp;$AZ$2,$K:$K,"W"))</f>
        <v>13</v>
      </c>
      <c r="BB6" s="79" cm="1">
        <f t="array" aca="1" ref="BB6" ca="1">IF('Raw Data'!$J$2="","",SUM(OFFSET($D$1,SMALL(IF($B$1:$B$170=X6,ROW($B$1:$B$170)-ROW($B$1)),ROW(INDIRECT("1:"&amp;$AZ$2))),0,1)))</f>
        <v>1306.99</v>
      </c>
      <c r="BC6" s="80">
        <f ca="1">IF('Raw Data'!$K$2="","",_xlfn.RANK.EQ($BD6,$BD$3:$BD$14)+COUNTIFS($BD$3:$BD$14,$BD6,$BE$3:$BE$14,"&gt;"&amp;$BE6))</f>
        <v>3</v>
      </c>
      <c r="BD6" s="20">
        <f>IF('Raw Data'!$K$2="","",COUNTIFS($B:$B,X6,$A:$A,"&lt;="&amp;$BC$2,$I:$I,"W")+COUNTIFS($B:$B,X6,$A:$A,"&lt;="&amp;$BC$2,$K:$K,"W"))</f>
        <v>14</v>
      </c>
      <c r="BE6" s="79" cm="1">
        <f t="array" aca="1" ref="BE6" ca="1">IF('Raw Data'!$K$2="","",SUM(OFFSET($D$1,SMALL(IF($B$1:$B$170=X6,ROW($B$1:$B$170)-ROW($B$1)),ROW(INDIRECT("1:"&amp;$BC$2))),0,1)))</f>
        <v>1426.38</v>
      </c>
      <c r="BF6" s="80">
        <f ca="1">IF('Raw Data'!$L$2="","",_xlfn.RANK.EQ($BG6,$BG$3:$BG$14)+COUNTIFS($BG$3:$BG$14,$BG6,$BH$3:$BH$14,"&gt;"&amp;$BH6))</f>
        <v>4</v>
      </c>
      <c r="BG6" s="20">
        <f>IF('Raw Data'!$L$2="","",COUNTIFS($B:$B,X6,$A:$A,"&lt;="&amp;$BF$2,$I:$I,"W")+COUNTIFS($B:$B,X6,$A:$A,"&lt;="&amp;$BF$2,$K:$K,"W"))</f>
        <v>14</v>
      </c>
      <c r="BH6" s="79" cm="1">
        <f t="array" aca="1" ref="BH6" ca="1">IF('Raw Data'!$L$2="","",SUM(OFFSET($D$1,SMALL(IF($B$1:$B$170=X6,ROW($B$1:$B$170)-ROW($B$1)),ROW(INDIRECT("1:"&amp;$BF$2))),0,1)))</f>
        <v>1534.14</v>
      </c>
      <c r="BI6" s="80">
        <f ca="1">IF('Raw Data'!$M$2="","",_xlfn.RANK.EQ($BJ6,$BJ$3:$BJ$14)+COUNTIFS($BJ$3:$BJ$14,$BJ6,$BK$3:$BK$14,"&gt;"&amp;$BK6))</f>
        <v>5</v>
      </c>
      <c r="BJ6" s="20">
        <f>IF('Raw Data'!$M$2="","",COUNTIFS($B:$B,X6,$A:$A,"&lt;="&amp;$BI$2,$I:$I,"W")+COUNTIFS($B:$B,X6,$A:$A,"&lt;="&amp;$BI$2,$K:$K,"W"))</f>
        <v>14</v>
      </c>
      <c r="BK6" s="79" cm="1">
        <f t="array" aca="1" ref="BK6" ca="1">IF('Raw Data'!$M$2="","",SUM(OFFSET($D$1,SMALL(IF($B$1:$B$170=X6,ROW($B$1:$B$170)-ROW($B$1)),ROW(INDIRECT("1:"&amp;$BI$2))),0,1)))</f>
        <v>1642.7</v>
      </c>
      <c r="BL6" s="80">
        <f ca="1">IF('Raw Data'!$N$2="","",_xlfn.RANK.EQ($BM6,$BM$3:$BM$14)+COUNTIFS($BM$3:$BM$14,$BM6,$BN$3:$BN$14,"&gt;"&amp;$BN6))</f>
        <v>6</v>
      </c>
      <c r="BM6" s="20">
        <f>IF('Raw Data'!$N$2="","",COUNTIFS($B:$B,X6,$A:$A,"&lt;="&amp;$BL$2,$I:$I,"W")+COUNTIFS($B:$B,X6,$A:$A,"&lt;="&amp;$BL$2,$K:$K,"W"))</f>
        <v>14</v>
      </c>
      <c r="BN6" s="79" cm="1">
        <f t="array" aca="1" ref="BN6" ca="1">IF('Raw Data'!$N$2="","",SUM(OFFSET($D$1,SMALL(IF($B$1:$B$170=X6,ROW($B$1:$B$170)-ROW($B$1)),ROW(INDIRECT("1:"&amp;$BL$2))),0,1)))</f>
        <v>1699.94</v>
      </c>
    </row>
    <row r="7" spans="1:66" x14ac:dyDescent="0.2">
      <c r="A7" s="23">
        <v>1</v>
      </c>
      <c r="B7" s="24" t="str">
        <f>IF('Raw Data'!$A$46="","",'Raw Data'!$A$46)</f>
        <v>Wrong Lever!</v>
      </c>
      <c r="C7" s="45" t="str">
        <f>IF(B7="","",_xlfn.XLOOKUP(B7,'Raw Data'!$P$3:$P$16,'Raw Data'!$Q$3:$Q$16,0,0,1))</f>
        <v>Tom</v>
      </c>
      <c r="D7" s="25">
        <f>IF('Raw Data'!$A$49="","",'Raw Data'!$A$49)</f>
        <v>88.71</v>
      </c>
      <c r="E7" s="18" t="s">
        <v>1</v>
      </c>
      <c r="F7" s="25">
        <f>IF('Raw Data'!$A$52="","",'Raw Data'!$A$52)</f>
        <v>144.62</v>
      </c>
      <c r="G7" s="45" t="str">
        <f>IF(H7="","",_xlfn.XLOOKUP(H7,'Raw Data'!$P$3:$P$16,'Raw Data'!$Q$3:$Q$16,0,0,1))</f>
        <v>Dylan</v>
      </c>
      <c r="H7" s="26" t="str">
        <f>IF('Raw Data'!$A$55="","",'Raw Data'!$A$55)</f>
        <v>Herbie's Honkers</v>
      </c>
      <c r="I7" s="23" t="str">
        <f t="shared" si="1"/>
        <v>L</v>
      </c>
      <c r="J7" s="23">
        <f t="shared" si="2"/>
        <v>11</v>
      </c>
      <c r="K7" s="23" t="str">
        <f t="shared" si="3"/>
        <v>L</v>
      </c>
      <c r="L7" s="25">
        <f t="shared" si="4"/>
        <v>-55.910000000000011</v>
      </c>
      <c r="N7" s="23">
        <f t="shared" si="5"/>
        <v>3</v>
      </c>
      <c r="O7" s="23">
        <f t="shared" si="0"/>
        <v>3</v>
      </c>
      <c r="P7" s="29">
        <f>IF(Q7="","",_xlfn.RANK.EQ($R7,$R$7:$R$10)+COUNTIFS($R$7:$R$10,$R7,$U$7:$U$10,"&gt;"&amp;$U7))</f>
        <v>1</v>
      </c>
      <c r="Q7" s="23" t="str">
        <f>IF('Raw Data'!P8="","",'Raw Data'!P8)</f>
        <v>SqueakSqueakinSqueakSqueakity</v>
      </c>
      <c r="R7" s="23">
        <f>IF(Q7="","",COUNTIFS(Calculations!$B$3:$B$170,$Q7,Calculations!$I$3:$I$170,"W")+COUNTIFS(Calculations!$B$3:$B$170,$Q7,Calculations!$K$3:$K$170,"W"))</f>
        <v>17</v>
      </c>
      <c r="S7" s="23">
        <f>IF(Q7="","",COUNTIFS(Calculations!$B$3:$B$170,$Q7,Calculations!$I$3:$I$170,"L")+COUNTIFS(Calculations!$B$3:$B$170,$Q7,Calculations!$K$3:$K$170,"L"))</f>
        <v>11</v>
      </c>
      <c r="T7" s="23">
        <f>IF(Q7="","",COUNTIFS(Calculations!$B$3:$B$170,$Q7,Calculations!$I$3:$I$170,"T"))</f>
        <v>0</v>
      </c>
      <c r="U7" s="25">
        <f>IF(Q7="","",SUMIF(Calculations!$B$3:$B$170,$Q7,Calculations!$D$3:$D$170))</f>
        <v>1854.13</v>
      </c>
      <c r="V7" s="25">
        <f>IF(Q7="","",SUMIF(Calculations!$B$3:$B$170,$Q7,Calculations!$F$3:$F$170))</f>
        <v>1742.4800000000005</v>
      </c>
      <c r="X7" s="78" t="str">
        <f t="shared" si="6"/>
        <v>SqueakSqueakinSqueakSqueakity</v>
      </c>
      <c r="Y7" s="20">
        <f ca="1">IF('Raw Data'!$A$2="","",_xlfn.RANK.EQ($Z7,$Z$3:$Z$14)+COUNTIFS($Z$3:$Z$14,$Z7,$AA$3:$AA$14,"&gt;"&amp;$AA7))</f>
        <v>5</v>
      </c>
      <c r="Z7" s="20">
        <f>IF('Raw Data'!$A$2="","",COUNTIFS($B:$B, X7, $A:$A, "&lt;=" &amp; $Y$2, $I:$I, "W") + COUNTIFS($B:$B, X7, $A:$A, "&lt;=" &amp; $Y$2, $K:$K, "W"))</f>
        <v>1</v>
      </c>
      <c r="AA7" s="79" cm="1">
        <f t="array" aca="1" ref="AA7" ca="1">IF('Raw Data'!$A$2="","",SUM(OFFSET($D$1, SMALL(IF($B$1:$B$170=X7, ROW($B$1:$B$170)-ROW($B$1)), ROW(INDIRECT("1:"&amp;$Y$2))), 0, 1)))</f>
        <v>124.89</v>
      </c>
      <c r="AB7" s="80">
        <f ca="1">IF('Raw Data'!$B$2="","",_xlfn.RANK.EQ($AC7,$AC$3:$AC$14)+COUNTIFS($AC$3:$AC$14,$AC7,$AD$3:$AD$14,"&gt;"&amp;$AD7))</f>
        <v>10</v>
      </c>
      <c r="AC7" s="20">
        <f>IF('Raw Data'!$B$2="","",COUNTIFS($B:$B,X7,$A:$A,"&lt;="&amp;$AB$2,$I:$I,"W")+COUNTIFS($B:$B,X7,$A:$A,"&lt;="&amp;$AB$2,$K:$K,"W"))</f>
        <v>1</v>
      </c>
      <c r="AD7" s="81" cm="1">
        <f t="array" aca="1" ref="AD7" ca="1">IF('Raw Data'!$B$2="","",SUM(OFFSET($D$1,SMALL(IF($B$1:$B$170=X7,ROW($B$1:$B$170)-ROW($B$1)),ROW(INDIRECT("1:"&amp;$AB$2))),0,1)))</f>
        <v>242.88</v>
      </c>
      <c r="AE7" s="80">
        <f ca="1">IF('Raw Data'!$C$2="","",_xlfn.RANK.EQ($AF7,$AF$3:$AF$14)+COUNTIFS($AF$3:$AF$14,$AF7,$AG$3:$AG$14,"&gt;"&amp;$AG7))</f>
        <v>9</v>
      </c>
      <c r="AF7" s="20">
        <f>IF('Raw Data'!$C$2="","",COUNTIFS($B:$B,X7,$A:$A,"&lt;="&amp;$AE$2,$I:$I,"W")+COUNTIFS($B:$B,X7,$A:$A,"&lt;="&amp;$AE$2,$K:$K,"W"))</f>
        <v>2</v>
      </c>
      <c r="AG7" s="81" cm="1">
        <f t="array" aca="1" ref="AG7" ca="1">IF('Raw Data'!$C$2="","",SUM(OFFSET($D$1,SMALL(IF($B$1:$B$170=X7,ROW($B$1:$B$170)-ROW($B$1)),ROW(INDIRECT("1:"&amp;$AE$2))),0,1)))</f>
        <v>360.1</v>
      </c>
      <c r="AH7" s="80">
        <f ca="1">IF('Raw Data'!$D$2="","",_xlfn.RANK.EQ($AI7,$AI$3:$AI$14)+COUNTIFS($AI$3:$AI$14,$AI7,$AJ$3:$AJ$14,"&gt;"&amp;$AJ7))</f>
        <v>5</v>
      </c>
      <c r="AI7" s="20">
        <f>IF('Raw Data'!$D$2="","",COUNTIFS($B:$B,X7,$A:$A,"&lt;="&amp;$AH$2,$I:$I,"W")+COUNTIFS($B:$B,X7,$A:$A,"&lt;="&amp;$AH$2,$K:$K,"W"))</f>
        <v>4</v>
      </c>
      <c r="AJ7" s="79" cm="1">
        <f t="array" aca="1" ref="AJ7" ca="1">IF('Raw Data'!$D$2="","",SUM(OFFSET($D$1,SMALL(IF($B$1:$B$170=X7,ROW($B$1:$B$170)-ROW($B$1)),ROW(INDIRECT("1:"&amp;$AH$2))),0,1)))</f>
        <v>506.86</v>
      </c>
      <c r="AK7" s="80">
        <f ca="1">IF('Raw Data'!$E$2="","",_xlfn.RANK.EQ($AL7,$AL$3:$AL$14)+COUNTIFS($AL$3:$AL$14,$AL7,$AM$3:$AM$14,"&gt;"&amp;$AM7))</f>
        <v>5</v>
      </c>
      <c r="AL7" s="20">
        <f>IF('Raw Data'!$E$2="","",COUNTIFS($B:$B,X7,$A:$A,"&lt;="&amp;$AK$2,$I:$I,"W")+COUNTIFS($B:$B,X7,$A:$A,"&lt;="&amp;$AK$2,$K:$K,"W"))</f>
        <v>6</v>
      </c>
      <c r="AM7" s="81" cm="1">
        <f t="array" aca="1" ref="AM7" ca="1">IF('Raw Data'!$E$2="","",SUM(OFFSET($D$1,SMALL(IF($B$1:$B$170=X7,ROW($B$1:$B$170)-ROW($B$1)),ROW(INDIRECT("1:"&amp;$AK$2))),0,1)))</f>
        <v>644.08000000000004</v>
      </c>
      <c r="AN7" s="80">
        <f ca="1">IF('Raw Data'!$F$2="","",_xlfn.RANK.EQ($AO7,$AO$3:$AO$14)+COUNTIFS($AO$3:$AO$14,$AO7,$AP$3:$AP$14,"&gt;"&amp;$AP7))</f>
        <v>4</v>
      </c>
      <c r="AO7" s="20">
        <f>IF('Raw Data'!$F$2="","",COUNTIFS($B:$B,X7,$A:$A,"&lt;="&amp;$AN$2,$I:$I,"W")+COUNTIFS($B:$B,X7,$A:$A,"&lt;="&amp;$AN$2,$K:$K,"W"))</f>
        <v>8</v>
      </c>
      <c r="AP7" s="81" cm="1">
        <f t="array" aca="1" ref="AP7" ca="1">IF('Raw Data'!$F$2="","",SUM(OFFSET($D$1,SMALL(IF($B$1:$B$170=X7,ROW($B$1:$B$170)-ROW($B$1)),ROW(INDIRECT("1:"&amp;$AN$2))),0,1)))</f>
        <v>767.08</v>
      </c>
      <c r="AQ7" s="80">
        <f ca="1">IF('Raw Data'!$G$2="","",_xlfn.RANK.EQ($AR7,$AR$3:$AR$14)+COUNTIFS($AR$3:$AR$14,$AR7,$AS$3:$AS$14,"&gt;"&amp;$AS7))</f>
        <v>5</v>
      </c>
      <c r="AR7" s="20">
        <f>IF('Raw Data'!$G$2="","",COUNTIFS($B:$B,X7,$A:$A,"&lt;="&amp;$AQ$2,$I:$I,"W")+COUNTIFS($B:$B,X7,$A:$A,"&lt;="&amp;$AQ$2,$K:$K,"W"))</f>
        <v>8</v>
      </c>
      <c r="AS7" s="79" cm="1">
        <f t="array" aca="1" ref="AS7" ca="1">IF('Raw Data'!$G$2="","",SUM(OFFSET($D$1,SMALL(IF($B$1:$B$170=X7,ROW($B$1:$B$170)-ROW($B$1)),ROW(INDIRECT("1:"&amp;$AQ$2))),0,1)))</f>
        <v>878.61</v>
      </c>
      <c r="AT7" s="80">
        <f ca="1">IF('Raw Data'!$H$2="","",_xlfn.RANK.EQ($AU7,$AU$3:$AU$14)+COUNTIFS($AU$3:$AU$14,$AU7,$AV$3:$AV$14,"&gt;"&amp;$AV7))</f>
        <v>4</v>
      </c>
      <c r="AU7" s="20">
        <f>IF('Raw Data'!$H$2="","",COUNTIFS($B:$B,X7,$A:$A,"&lt;="&amp;$AT$2,$I:$I,"W")+COUNTIFS($B:$B,X7,$A:$A,"&lt;="&amp;$AT$2,$K:$K,"W"))</f>
        <v>10</v>
      </c>
      <c r="AV7" s="79" cm="1">
        <f t="array" aca="1" ref="AV7" ca="1">IF('Raw Data'!$H$2="","",SUM(OFFSET($D$1,SMALL(IF($B$1:$B$170=X7,ROW($B$1:$B$170)-ROW($B$1)),ROW(INDIRECT("1:"&amp;$AT$2))),0,1)))</f>
        <v>1035.1300000000001</v>
      </c>
      <c r="AW7" s="80">
        <f ca="1">IF('Raw Data'!$I$2="","",_xlfn.RANK.EQ($AX7,$AX$3:$AX$14)+COUNTIFS($AX$3:$AX$14,$AX7,$AY$3:$AY$14,"&gt;"&amp;$AY7))</f>
        <v>4</v>
      </c>
      <c r="AX7" s="20">
        <f>IF('Raw Data'!$I$2="","",COUNTIFS($B:$B,X7,$A:$A,"&lt;="&amp;$AW$2,$I:$I,"W")+COUNTIFS($B:$B,X7,$A:$A,"&lt;="&amp;$AW$2,$K:$K,"W"))</f>
        <v>11</v>
      </c>
      <c r="AY7" s="79" cm="1">
        <f t="array" aca="1" ref="AY7" ca="1">IF('Raw Data'!$I$2="","",SUM(OFFSET($D$1,SMALL(IF($B$1:$B$170=X7,ROW($B$1:$B$170)-ROW($B$1)),ROW(INDIRECT("1:"&amp;$AW$2))),0,1)))</f>
        <v>1178.0700000000002</v>
      </c>
      <c r="AZ7" s="80">
        <f ca="1">IF('Raw Data'!$J$2="","",_xlfn.RANK.EQ($BA7,$BA$3:$BA$14)+COUNTIFS($BA$3:$BA$14,$BA7,$BB$3:$BB$14,"&gt;"&amp;$BB7))</f>
        <v>5</v>
      </c>
      <c r="BA7" s="20">
        <f>IF('Raw Data'!$J$2="","",COUNTIFS($B:$B,X7,$A:$A,"&lt;="&amp;$AZ$2,$I:$I,"W")+COUNTIFS($B:$B,X7,$A:$A,"&lt;="&amp;$AZ$2,$K:$K,"W"))</f>
        <v>11</v>
      </c>
      <c r="BB7" s="79" cm="1">
        <f t="array" aca="1" ref="BB7" ca="1">IF('Raw Data'!$J$2="","",SUM(OFFSET($D$1,SMALL(IF($B$1:$B$170=X7,ROW($B$1:$B$170)-ROW($B$1)),ROW(INDIRECT("1:"&amp;$AZ$2))),0,1)))</f>
        <v>1289.44</v>
      </c>
      <c r="BC7" s="80">
        <f ca="1">IF('Raw Data'!$K$2="","",_xlfn.RANK.EQ($BD7,$BD$3:$BD$14)+COUNTIFS($BD$3:$BD$14,$BD7,$BE$3:$BE$14,"&gt;"&amp;$BE7))</f>
        <v>4</v>
      </c>
      <c r="BD7" s="20">
        <f>IF('Raw Data'!$K$2="","",COUNTIFS($B:$B,X7,$A:$A,"&lt;="&amp;$BC$2,$I:$I,"W")+COUNTIFS($B:$B,X7,$A:$A,"&lt;="&amp;$BC$2,$K:$K,"W"))</f>
        <v>13</v>
      </c>
      <c r="BE7" s="79" cm="1">
        <f t="array" aca="1" ref="BE7" ca="1">IF('Raw Data'!$K$2="","",SUM(OFFSET($D$1,SMALL(IF($B$1:$B$170=X7,ROW($B$1:$B$170)-ROW($B$1)),ROW(INDIRECT("1:"&amp;$BC$2))),0,1)))</f>
        <v>1431.65</v>
      </c>
      <c r="BF7" s="80">
        <f ca="1">IF('Raw Data'!$L$2="","",_xlfn.RANK.EQ($BG7,$BG$3:$BG$14)+COUNTIFS($BG$3:$BG$14,$BG7,$BH$3:$BH$14,"&gt;"&amp;$BH7))</f>
        <v>3</v>
      </c>
      <c r="BG7" s="20">
        <f>IF('Raw Data'!$L$2="","",COUNTIFS($B:$B,X7,$A:$A,"&lt;="&amp;$BF$2,$I:$I,"W")+COUNTIFS($B:$B,X7,$A:$A,"&lt;="&amp;$BF$2,$K:$K,"W"))</f>
        <v>15</v>
      </c>
      <c r="BH7" s="79" cm="1">
        <f t="array" aca="1" ref="BH7" ca="1">IF('Raw Data'!$L$2="","",SUM(OFFSET($D$1,SMALL(IF($B$1:$B$170=X7,ROW($B$1:$B$170)-ROW($B$1)),ROW(INDIRECT("1:"&amp;$BF$2))),0,1)))</f>
        <v>1592.74</v>
      </c>
      <c r="BI7" s="80">
        <f ca="1">IF('Raw Data'!$M$2="","",_xlfn.RANK.EQ($BJ7,$BJ$3:$BJ$14)+COUNTIFS($BJ$3:$BJ$14,$BJ7,$BK$3:$BK$14,"&gt;"&amp;$BK7))</f>
        <v>3</v>
      </c>
      <c r="BJ7" s="20">
        <f>IF('Raw Data'!$M$2="","",COUNTIFS($B:$B,X7,$A:$A,"&lt;="&amp;$BI$2,$I:$I,"W")+COUNTIFS($B:$B,X7,$A:$A,"&lt;="&amp;$BI$2,$K:$K,"W"))</f>
        <v>15</v>
      </c>
      <c r="BK7" s="79" cm="1">
        <f t="array" aca="1" ref="BK7" ca="1">IF('Raw Data'!$M$2="","",SUM(OFFSET($D$1,SMALL(IF($B$1:$B$170=X7,ROW($B$1:$B$170)-ROW($B$1)),ROW(INDIRECT("1:"&amp;$BI$2))),0,1)))</f>
        <v>1692.96</v>
      </c>
      <c r="BL7" s="80">
        <f ca="1">IF('Raw Data'!$N$2="","",_xlfn.RANK.EQ($BM7,$BM$3:$BM$14)+COUNTIFS($BM$3:$BM$14,$BM7,$BN$3:$BN$14,"&gt;"&amp;$BN7))</f>
        <v>3</v>
      </c>
      <c r="BM7" s="20">
        <f>IF('Raw Data'!$N$2="","",COUNTIFS($B:$B,X7,$A:$A,"&lt;="&amp;$BL$2,$I:$I,"W")+COUNTIFS($B:$B,X7,$A:$A,"&lt;="&amp;$BL$2,$K:$K,"W"))</f>
        <v>17</v>
      </c>
      <c r="BN7" s="79" cm="1">
        <f t="array" aca="1" ref="BN7" ca="1">IF('Raw Data'!$N$2="","",SUM(OFFSET($D$1,SMALL(IF($B$1:$B$170=X7,ROW($B$1:$B$170)-ROW($B$1)),ROW(INDIRECT("1:"&amp;$BL$2))),0,1)))</f>
        <v>1854.13</v>
      </c>
    </row>
    <row r="8" spans="1:66" x14ac:dyDescent="0.2">
      <c r="A8" s="23">
        <v>1</v>
      </c>
      <c r="B8" s="24" t="str">
        <f>IF('Raw Data'!$A$57="","",'Raw Data'!$A$57)</f>
        <v>Stupid Smartass Psycho</v>
      </c>
      <c r="C8" s="45" t="str">
        <f>IF(B8="","",_xlfn.XLOOKUP(B8,'Raw Data'!$P$3:$P$16,'Raw Data'!$Q$3:$Q$16,0,0,1))</f>
        <v>Nate</v>
      </c>
      <c r="D8" s="25">
        <f>IF('Raw Data'!$A$60="","",'Raw Data'!$A$60)</f>
        <v>107.42</v>
      </c>
      <c r="E8" s="18" t="s">
        <v>1</v>
      </c>
      <c r="F8" s="25">
        <f>IF('Raw Data'!$A$63="","",'Raw Data'!$A$63)</f>
        <v>91.75</v>
      </c>
      <c r="G8" s="45" t="str">
        <f>IF(H8="","",_xlfn.XLOOKUP(H8,'Raw Data'!$P$3:$P$16,'Raw Data'!$Q$3:$Q$16,0,0,1))</f>
        <v>Ian</v>
      </c>
      <c r="H8" s="26" t="str">
        <f>IF('Raw Data'!$A$66="","",'Raw Data'!$A$66)</f>
        <v>Aladdin Jazerra</v>
      </c>
      <c r="I8" s="23" t="str">
        <f t="shared" si="1"/>
        <v>W</v>
      </c>
      <c r="J8" s="23">
        <f t="shared" si="2"/>
        <v>8</v>
      </c>
      <c r="K8" s="23" t="str">
        <f t="shared" si="3"/>
        <v>L</v>
      </c>
      <c r="L8" s="25">
        <f t="shared" si="4"/>
        <v>15.670000000000002</v>
      </c>
      <c r="N8" s="23">
        <f t="shared" si="5"/>
        <v>8</v>
      </c>
      <c r="O8" s="23">
        <f t="shared" si="0"/>
        <v>8</v>
      </c>
      <c r="P8" s="29">
        <f>IF(Q8="","",_xlfn.RANK.EQ($R8,$R$7:$R$10)+COUNTIFS($R$7:$R$10,$R8,$U$7:$U$10,"&gt;"&amp;$U8))</f>
        <v>2</v>
      </c>
      <c r="Q8" s="23" t="str">
        <f>IF('Raw Data'!P9="","",'Raw Data'!P9)</f>
        <v>We're all mad here</v>
      </c>
      <c r="R8" s="23">
        <f>IF(Q8="","",COUNTIFS(Calculations!$B$3:$B$170,$Q8,Calculations!$I$3:$I$170,"W")+COUNTIFS(Calculations!$B$3:$B$170,$Q8,Calculations!$K$3:$K$170,"W"))</f>
        <v>12</v>
      </c>
      <c r="S8" s="23">
        <f>IF(Q8="","",COUNTIFS(Calculations!$B$3:$B$170,$Q8,Calculations!$I$3:$I$170,"L")+COUNTIFS(Calculations!$B$3:$B$170,$Q8,Calculations!$K$3:$K$170,"L"))</f>
        <v>16</v>
      </c>
      <c r="T8" s="23">
        <f>IF(Q8="","",COUNTIFS(Calculations!$B$3:$B$170,$Q8,Calculations!$I$3:$I$170,"T"))</f>
        <v>0</v>
      </c>
      <c r="U8" s="25">
        <f>IF(Q8="","",SUMIF(Calculations!$B$3:$B$170,$Q8,Calculations!$D$3:$D$170))</f>
        <v>1696.12</v>
      </c>
      <c r="V8" s="25">
        <f>IF(Q8="","",SUMIF(Calculations!$B$3:$B$170,$Q8,Calculations!$F$3:$F$170))</f>
        <v>1718.04</v>
      </c>
      <c r="X8" s="78" t="str">
        <f t="shared" si="6"/>
        <v>We're all mad here</v>
      </c>
      <c r="Y8" s="20">
        <f ca="1">IF('Raw Data'!$A$2="","",_xlfn.RANK.EQ($Z8,$Z$3:$Z$14)+COUNTIFS($Z$3:$Z$14,$Z8,$AA$3:$AA$14,"&gt;"&amp;$AA8))</f>
        <v>9</v>
      </c>
      <c r="Z8" s="20">
        <f>IF('Raw Data'!$A$2="","",COUNTIFS($B:$B, X8, $A:$A, "&lt;=" &amp; $Y$2, $I:$I, "W") + COUNTIFS($B:$B, X8, $A:$A, "&lt;=" &amp; $Y$2, $K:$K, "W"))</f>
        <v>0</v>
      </c>
      <c r="AA8" s="79" cm="1">
        <f t="array" aca="1" ref="AA8" ca="1">IF('Raw Data'!$A$2="","",SUM(OFFSET($D$1, SMALL(IF($B$1:$B$170=X8, ROW($B$1:$B$170)-ROW($B$1)), ROW(INDIRECT("1:"&amp;$Y$2))), 0, 1)))</f>
        <v>106.19</v>
      </c>
      <c r="AB8" s="80">
        <f ca="1">IF('Raw Data'!$B$2="","",_xlfn.RANK.EQ($AC8,$AC$3:$AC$14)+COUNTIFS($AC$3:$AC$14,$AC8,$AD$3:$AD$14,"&gt;"&amp;$AD8))</f>
        <v>7</v>
      </c>
      <c r="AC8" s="20">
        <f>IF('Raw Data'!$B$2="","",COUNTIFS($B:$B,X8,$A:$A,"&lt;="&amp;$AB$2,$I:$I,"W")+COUNTIFS($B:$B,X8,$A:$A,"&lt;="&amp;$AB$2,$K:$K,"W"))</f>
        <v>2</v>
      </c>
      <c r="AD8" s="81" cm="1">
        <f t="array" aca="1" ref="AD8" ca="1">IF('Raw Data'!$B$2="","",SUM(OFFSET($D$1,SMALL(IF($B$1:$B$170=X8,ROW($B$1:$B$170)-ROW($B$1)),ROW(INDIRECT("1:"&amp;$AB$2))),0,1)))</f>
        <v>244.46</v>
      </c>
      <c r="AE8" s="80">
        <f ca="1">IF('Raw Data'!$C$2="","",_xlfn.RANK.EQ($AF8,$AF$3:$AF$14)+COUNTIFS($AF$3:$AF$14,$AF8,$AG$3:$AG$14,"&gt;"&amp;$AG8))</f>
        <v>4</v>
      </c>
      <c r="AF8" s="20">
        <f>IF('Raw Data'!$C$2="","",COUNTIFS($B:$B,X8,$A:$A,"&lt;="&amp;$AE$2,$I:$I,"W")+COUNTIFS($B:$B,X8,$A:$A,"&lt;="&amp;$AE$2,$K:$K,"W"))</f>
        <v>4</v>
      </c>
      <c r="AG8" s="81" cm="1">
        <f t="array" aca="1" ref="AG8" ca="1">IF('Raw Data'!$C$2="","",SUM(OFFSET($D$1,SMALL(IF($B$1:$B$170=X8,ROW($B$1:$B$170)-ROW($B$1)),ROW(INDIRECT("1:"&amp;$AE$2))),0,1)))</f>
        <v>376.67</v>
      </c>
      <c r="AH8" s="80">
        <f ca="1">IF('Raw Data'!$D$2="","",_xlfn.RANK.EQ($AI8,$AI$3:$AI$14)+COUNTIFS($AI$3:$AI$14,$AI8,$AJ$3:$AJ$14,"&gt;"&amp;$AJ8))</f>
        <v>8</v>
      </c>
      <c r="AI8" s="20">
        <f>IF('Raw Data'!$D$2="","",COUNTIFS($B:$B,X8,$A:$A,"&lt;="&amp;$AH$2,$I:$I,"W")+COUNTIFS($B:$B,X8,$A:$A,"&lt;="&amp;$AH$2,$K:$K,"W"))</f>
        <v>4</v>
      </c>
      <c r="AJ8" s="79" cm="1">
        <f t="array" aca="1" ref="AJ8" ca="1">IF('Raw Data'!$D$2="","",SUM(OFFSET($D$1,SMALL(IF($B$1:$B$170=X8,ROW($B$1:$B$170)-ROW($B$1)),ROW(INDIRECT("1:"&amp;$AH$2))),0,1)))</f>
        <v>485.32000000000005</v>
      </c>
      <c r="AK8" s="80">
        <f ca="1">IF('Raw Data'!$E$2="","",_xlfn.RANK.EQ($AL8,$AL$3:$AL$14)+COUNTIFS($AL$3:$AL$14,$AL8,$AM$3:$AM$14,"&gt;"&amp;$AM8))</f>
        <v>6</v>
      </c>
      <c r="AL8" s="20">
        <f>IF('Raw Data'!$E$2="","",COUNTIFS($B:$B,X8,$A:$A,"&lt;="&amp;$AK$2,$I:$I,"W")+COUNTIFS($B:$B,X8,$A:$A,"&lt;="&amp;$AK$2,$K:$K,"W"))</f>
        <v>5</v>
      </c>
      <c r="AM8" s="81" cm="1">
        <f t="array" aca="1" ref="AM8" ca="1">IF('Raw Data'!$E$2="","",SUM(OFFSET($D$1,SMALL(IF($B$1:$B$170=X8,ROW($B$1:$B$170)-ROW($B$1)),ROW(INDIRECT("1:"&amp;$AK$2))),0,1)))</f>
        <v>641.45000000000005</v>
      </c>
      <c r="AN8" s="80">
        <f ca="1">IF('Raw Data'!$F$2="","",_xlfn.RANK.EQ($AO8,$AO$3:$AO$14)+COUNTIFS($AO$3:$AO$14,$AO8,$AP$3:$AP$14,"&gt;"&amp;$AP8))</f>
        <v>7</v>
      </c>
      <c r="AO8" s="20">
        <f>IF('Raw Data'!$F$2="","",COUNTIFS($B:$B,X8,$A:$A,"&lt;="&amp;$AN$2,$I:$I,"W")+COUNTIFS($B:$B,X8,$A:$A,"&lt;="&amp;$AN$2,$K:$K,"W"))</f>
        <v>6</v>
      </c>
      <c r="AP8" s="81" cm="1">
        <f t="array" aca="1" ref="AP8" ca="1">IF('Raw Data'!$F$2="","",SUM(OFFSET($D$1,SMALL(IF($B$1:$B$170=X8,ROW($B$1:$B$170)-ROW($B$1)),ROW(INDIRECT("1:"&amp;$AN$2))),0,1)))</f>
        <v>762.62</v>
      </c>
      <c r="AQ8" s="80">
        <f ca="1">IF('Raw Data'!$G$2="","",_xlfn.RANK.EQ($AR8,$AR$3:$AR$14)+COUNTIFS($AR$3:$AR$14,$AR8,$AS$3:$AS$14,"&gt;"&amp;$AS8))</f>
        <v>6</v>
      </c>
      <c r="AR8" s="20">
        <f>IF('Raw Data'!$G$2="","",COUNTIFS($B:$B,X8,$A:$A,"&lt;="&amp;$AQ$2,$I:$I,"W")+COUNTIFS($B:$B,X8,$A:$A,"&lt;="&amp;$AQ$2,$K:$K,"W"))</f>
        <v>7</v>
      </c>
      <c r="AS8" s="79" cm="1">
        <f t="array" aca="1" ref="AS8" ca="1">IF('Raw Data'!$G$2="","",SUM(OFFSET($D$1,SMALL(IF($B$1:$B$170=X8,ROW($B$1:$B$170)-ROW($B$1)),ROW(INDIRECT("1:"&amp;$AQ$2))),0,1)))</f>
        <v>907.65</v>
      </c>
      <c r="AT8" s="80">
        <f ca="1">IF('Raw Data'!$H$2="","",_xlfn.RANK.EQ($AU8,$AU$3:$AU$14)+COUNTIFS($AU$3:$AU$14,$AU8,$AV$3:$AV$14,"&gt;"&amp;$AV8))</f>
        <v>8</v>
      </c>
      <c r="AU8" s="20">
        <f>IF('Raw Data'!$H$2="","",COUNTIFS($B:$B,X8,$A:$A,"&lt;="&amp;$AT$2,$I:$I,"W")+COUNTIFS($B:$B,X8,$A:$A,"&lt;="&amp;$AT$2,$K:$K,"W"))</f>
        <v>7</v>
      </c>
      <c r="AV8" s="79" cm="1">
        <f t="array" aca="1" ref="AV8" ca="1">IF('Raw Data'!$H$2="","",SUM(OFFSET($D$1,SMALL(IF($B$1:$B$170=X8,ROW($B$1:$B$170)-ROW($B$1)),ROW(INDIRECT("1:"&amp;$AT$2))),0,1)))</f>
        <v>1016.5699999999999</v>
      </c>
      <c r="AW8" s="80">
        <f ca="1">IF('Raw Data'!$I$2="","",_xlfn.RANK.EQ($AX8,$AX$3:$AX$14)+COUNTIFS($AX$3:$AX$14,$AX8,$AY$3:$AY$14,"&gt;"&amp;$AY8))</f>
        <v>8</v>
      </c>
      <c r="AX8" s="20">
        <f>IF('Raw Data'!$I$2="","",COUNTIFS($B:$B,X8,$A:$A,"&lt;="&amp;$AW$2,$I:$I,"W")+COUNTIFS($B:$B,X8,$A:$A,"&lt;="&amp;$AW$2,$K:$K,"W"))</f>
        <v>7</v>
      </c>
      <c r="AY8" s="79" cm="1">
        <f t="array" aca="1" ref="AY8" ca="1">IF('Raw Data'!$I$2="","",SUM(OFFSET($D$1,SMALL(IF($B$1:$B$170=X8,ROW($B$1:$B$170)-ROW($B$1)),ROW(INDIRECT("1:"&amp;$AW$2))),0,1)))</f>
        <v>1129.8699999999999</v>
      </c>
      <c r="AZ8" s="80">
        <f ca="1">IF('Raw Data'!$J$2="","",_xlfn.RANK.EQ($BA8,$BA$3:$BA$14)+COUNTIFS($BA$3:$BA$14,$BA8,$BB$3:$BB$14,"&gt;"&amp;$BB8))</f>
        <v>7</v>
      </c>
      <c r="BA8" s="20">
        <f>IF('Raw Data'!$J$2="","",COUNTIFS($B:$B,X8,$A:$A,"&lt;="&amp;$AZ$2,$I:$I,"W")+COUNTIFS($B:$B,X8,$A:$A,"&lt;="&amp;$AZ$2,$K:$K,"W"))</f>
        <v>9</v>
      </c>
      <c r="BB8" s="79" cm="1">
        <f t="array" aca="1" ref="BB8" ca="1">IF('Raw Data'!$J$2="","",SUM(OFFSET($D$1,SMALL(IF($B$1:$B$170=X8,ROW($B$1:$B$170)-ROW($B$1)),ROW(INDIRECT("1:"&amp;$AZ$2))),0,1)))</f>
        <v>1272.1899999999998</v>
      </c>
      <c r="BC8" s="80">
        <f ca="1">IF('Raw Data'!$K$2="","",_xlfn.RANK.EQ($BD8,$BD$3:$BD$14)+COUNTIFS($BD$3:$BD$14,$BD8,$BE$3:$BE$14,"&gt;"&amp;$BE8))</f>
        <v>8</v>
      </c>
      <c r="BD8" s="20">
        <f>IF('Raw Data'!$K$2="","",COUNTIFS($B:$B,X8,$A:$A,"&lt;="&amp;$BC$2,$I:$I,"W")+COUNTIFS($B:$B,X8,$A:$A,"&lt;="&amp;$BC$2,$K:$K,"W"))</f>
        <v>9</v>
      </c>
      <c r="BE8" s="79" cm="1">
        <f t="array" aca="1" ref="BE8" ca="1">IF('Raw Data'!$K$2="","",SUM(OFFSET($D$1,SMALL(IF($B$1:$B$170=X8,ROW($B$1:$B$170)-ROW($B$1)),ROW(INDIRECT("1:"&amp;$BC$2))),0,1)))</f>
        <v>1378.7799999999997</v>
      </c>
      <c r="BF8" s="80">
        <f ca="1">IF('Raw Data'!$L$2="","",_xlfn.RANK.EQ($BG8,$BG$3:$BG$14)+COUNTIFS($BG$3:$BG$14,$BG8,$BH$3:$BH$14,"&gt;"&amp;$BH8))</f>
        <v>8</v>
      </c>
      <c r="BG8" s="20">
        <f>IF('Raw Data'!$L$2="","",COUNTIFS($B:$B,X8,$A:$A,"&lt;="&amp;$BF$2,$I:$I,"W")+COUNTIFS($B:$B,X8,$A:$A,"&lt;="&amp;$BF$2,$K:$K,"W"))</f>
        <v>10</v>
      </c>
      <c r="BH8" s="79" cm="1">
        <f t="array" aca="1" ref="BH8" ca="1">IF('Raw Data'!$L$2="","",SUM(OFFSET($D$1,SMALL(IF($B$1:$B$170=X8,ROW($B$1:$B$170)-ROW($B$1)),ROW(INDIRECT("1:"&amp;$BF$2))),0,1)))</f>
        <v>1482.7099999999998</v>
      </c>
      <c r="BI8" s="80">
        <f ca="1">IF('Raw Data'!$M$2="","",_xlfn.RANK.EQ($BJ8,$BJ$3:$BJ$14)+COUNTIFS($BJ$3:$BJ$14,$BJ8,$BK$3:$BK$14,"&gt;"&amp;$BK8))</f>
        <v>7</v>
      </c>
      <c r="BJ8" s="20">
        <f>IF('Raw Data'!$M$2="","",COUNTIFS($B:$B,X8,$A:$A,"&lt;="&amp;$BI$2,$I:$I,"W")+COUNTIFS($B:$B,X8,$A:$A,"&lt;="&amp;$BI$2,$K:$K,"W"))</f>
        <v>12</v>
      </c>
      <c r="BK8" s="79" cm="1">
        <f t="array" aca="1" ref="BK8" ca="1">IF('Raw Data'!$M$2="","",SUM(OFFSET($D$1,SMALL(IF($B$1:$B$170=X8,ROW($B$1:$B$170)-ROW($B$1)),ROW(INDIRECT("1:"&amp;$BI$2))),0,1)))</f>
        <v>1601.61</v>
      </c>
      <c r="BL8" s="80">
        <f ca="1">IF('Raw Data'!$N$2="","",_xlfn.RANK.EQ($BM8,$BM$3:$BM$14)+COUNTIFS($BM$3:$BM$14,$BM8,$BN$3:$BN$14,"&gt;"&amp;$BN8))</f>
        <v>8</v>
      </c>
      <c r="BM8" s="20">
        <f>IF('Raw Data'!$N$2="","",COUNTIFS($B:$B,X8,$A:$A,"&lt;="&amp;$BL$2,$I:$I,"W")+COUNTIFS($B:$B,X8,$A:$A,"&lt;="&amp;$BL$2,$K:$K,"W"))</f>
        <v>12</v>
      </c>
      <c r="BN8" s="79" cm="1">
        <f t="array" aca="1" ref="BN8" ca="1">IF('Raw Data'!$N$2="","",SUM(OFFSET($D$1,SMALL(IF($B$1:$B$170=X8,ROW($B$1:$B$170)-ROW($B$1)),ROW(INDIRECT("1:"&amp;$BL$2))),0,1)))</f>
        <v>1696.12</v>
      </c>
    </row>
    <row r="9" spans="1:66" x14ac:dyDescent="0.2">
      <c r="A9" s="23">
        <v>1</v>
      </c>
      <c r="B9" s="24" t="str">
        <f>IF('Raw Data'!$A$11="","",'Raw Data'!$A$11)</f>
        <v>The Rescuers vs Medusa</v>
      </c>
      <c r="C9" s="45" t="str">
        <f>IF(B9="","",_xlfn.XLOOKUP(B9,'Raw Data'!$P$3:$P$16,'Raw Data'!$Q$3:$Q$16,0,0,1))</f>
        <v>Eddie</v>
      </c>
      <c r="D9" s="25">
        <f>IF('Raw Data'!$A$8="","",'Raw Data'!$A$8)</f>
        <v>139.93</v>
      </c>
      <c r="E9" s="18" t="s">
        <v>1</v>
      </c>
      <c r="F9" s="25">
        <f>IF('Raw Data'!$A$5="","",'Raw Data'!$A$5)</f>
        <v>124.89</v>
      </c>
      <c r="G9" s="45" t="str">
        <f>IF(H9="","",_xlfn.XLOOKUP(H9,'Raw Data'!$P$3:$P$16,'Raw Data'!$Q$3:$Q$16,0,0,1))</f>
        <v>Dave</v>
      </c>
      <c r="H9" s="27" t="str">
        <f>IF('Raw Data'!$A$2="","",'Raw Data'!$A$2)</f>
        <v>SqueakSqueakinSqueakSqueakity</v>
      </c>
      <c r="I9" s="23" t="str">
        <f t="shared" si="1"/>
        <v>W</v>
      </c>
      <c r="J9" s="23">
        <f t="shared" si="2"/>
        <v>2</v>
      </c>
      <c r="K9" s="23" t="str">
        <f t="shared" si="3"/>
        <v>W</v>
      </c>
      <c r="L9" s="25">
        <f t="shared" si="4"/>
        <v>15.040000000000006</v>
      </c>
      <c r="N9" s="23">
        <f t="shared" si="5"/>
        <v>9</v>
      </c>
      <c r="O9" s="23">
        <f t="shared" si="0"/>
        <v>9</v>
      </c>
      <c r="P9" s="29">
        <f>IF(Q9="","",_xlfn.RANK.EQ($R9,$R$7:$R$10)+COUNTIFS($R$7:$R$10,$R9,$U$7:$U$10,"&gt;"&amp;$U9))</f>
        <v>3</v>
      </c>
      <c r="Q9" s="23" t="str">
        <f>IF('Raw Data'!P10="","",'Raw Data'!P10)</f>
        <v>Tick Tock the Crocodile</v>
      </c>
      <c r="R9" s="23">
        <f>IF(Q9="","",COUNTIFS(Calculations!$B$3:$B$170,$Q9,Calculations!$I$3:$I$170,"W")+COUNTIFS(Calculations!$B$3:$B$170,$Q9,Calculations!$K$3:$K$170,"W"))</f>
        <v>12</v>
      </c>
      <c r="S9" s="23">
        <f>IF(Q9="","",COUNTIFS(Calculations!$B$3:$B$170,$Q9,Calculations!$I$3:$I$170,"L")+COUNTIFS(Calculations!$B$3:$B$170,$Q9,Calculations!$K$3:$K$170,"L"))</f>
        <v>16</v>
      </c>
      <c r="T9" s="23">
        <f>IF(Q9="","",COUNTIFS(Calculations!$B$3:$B$170,$Q9,Calculations!$I$3:$I$170,"T"))</f>
        <v>0</v>
      </c>
      <c r="U9" s="25">
        <f>IF(Q9="","",SUMIF(Calculations!$B$3:$B$170,$Q9,Calculations!$D$3:$D$170))</f>
        <v>1644.1800000000003</v>
      </c>
      <c r="V9" s="25">
        <f>IF(Q9="","",SUMIF(Calculations!$B$3:$B$170,$Q9,Calculations!$F$3:$F$170))</f>
        <v>1783.4</v>
      </c>
      <c r="X9" s="78" t="str">
        <f t="shared" si="6"/>
        <v>Tick Tock the Crocodile</v>
      </c>
      <c r="Y9" s="20">
        <f ca="1">IF('Raw Data'!$A$2="","",_xlfn.RANK.EQ($Z9,$Z$3:$Z$14)+COUNTIFS($Z$3:$Z$14,$Z9,$AA$3:$AA$14,"&gt;"&amp;$AA9))</f>
        <v>6</v>
      </c>
      <c r="Z9" s="20">
        <f>IF('Raw Data'!$A$2="","",COUNTIFS($B:$B, X9, $A:$A, "&lt;=" &amp; $Y$2, $I:$I, "W") + COUNTIFS($B:$B, X9, $A:$A, "&lt;=" &amp; $Y$2, $K:$K, "W"))</f>
        <v>1</v>
      </c>
      <c r="AA9" s="79" cm="1">
        <f t="array" aca="1" ref="AA9" ca="1">IF('Raw Data'!$A$2="","",SUM(OFFSET($D$1, SMALL(IF($B$1:$B$170=X9, ROW($B$1:$B$170)-ROW($B$1)), ROW(INDIRECT("1:"&amp;$Y$2))), 0, 1)))</f>
        <v>119.28</v>
      </c>
      <c r="AB9" s="80">
        <f ca="1">IF('Raw Data'!$B$2="","",_xlfn.RANK.EQ($AC9,$AC$3:$AC$14)+COUNTIFS($AC$3:$AC$14,$AC9,$AD$3:$AD$14,"&gt;"&amp;$AD9))</f>
        <v>3</v>
      </c>
      <c r="AC9" s="20">
        <f>IF('Raw Data'!$B$2="","",COUNTIFS($B:$B,X9,$A:$A,"&lt;="&amp;$AB$2,$I:$I,"W")+COUNTIFS($B:$B,X9,$A:$A,"&lt;="&amp;$AB$2,$K:$K,"W"))</f>
        <v>3</v>
      </c>
      <c r="AD9" s="81" cm="1">
        <f t="array" aca="1" ref="AD9" ca="1">IF('Raw Data'!$B$2="","",SUM(OFFSET($D$1,SMALL(IF($B$1:$B$170=X9,ROW($B$1:$B$170)-ROW($B$1)),ROW(INDIRECT("1:"&amp;$AB$2))),0,1)))</f>
        <v>246.91</v>
      </c>
      <c r="AE9" s="80">
        <f ca="1">IF('Raw Data'!$C$2="","",_xlfn.RANK.EQ($AF9,$AF$3:$AF$14)+COUNTIFS($AF$3:$AF$14,$AF9,$AG$3:$AG$14,"&gt;"&amp;$AG9))</f>
        <v>8</v>
      </c>
      <c r="AF9" s="20">
        <f>IF('Raw Data'!$C$2="","",COUNTIFS($B:$B,X9,$A:$A,"&lt;="&amp;$AE$2,$I:$I,"W")+COUNTIFS($B:$B,X9,$A:$A,"&lt;="&amp;$AE$2,$K:$K,"W"))</f>
        <v>3</v>
      </c>
      <c r="AG9" s="81" cm="1">
        <f t="array" aca="1" ref="AG9" ca="1">IF('Raw Data'!$C$2="","",SUM(OFFSET($D$1,SMALL(IF($B$1:$B$170=X9,ROW($B$1:$B$170)-ROW($B$1)),ROW(INDIRECT("1:"&amp;$AE$2))),0,1)))</f>
        <v>361.9</v>
      </c>
      <c r="AH9" s="80">
        <f ca="1">IF('Raw Data'!$D$2="","",_xlfn.RANK.EQ($AI9,$AI$3:$AI$14)+COUNTIFS($AI$3:$AI$14,$AI9,$AJ$3:$AJ$14,"&gt;"&amp;$AJ9))</f>
        <v>7</v>
      </c>
      <c r="AI9" s="20">
        <f>IF('Raw Data'!$D$2="","",COUNTIFS($B:$B,X9,$A:$A,"&lt;="&amp;$AH$2,$I:$I,"W")+COUNTIFS($B:$B,X9,$A:$A,"&lt;="&amp;$AH$2,$K:$K,"W"))</f>
        <v>4</v>
      </c>
      <c r="AJ9" s="79" cm="1">
        <f t="array" aca="1" ref="AJ9" ca="1">IF('Raw Data'!$D$2="","",SUM(OFFSET($D$1,SMALL(IF($B$1:$B$170=X9,ROW($B$1:$B$170)-ROW($B$1)),ROW(INDIRECT("1:"&amp;$AH$2))),0,1)))</f>
        <v>495.61</v>
      </c>
      <c r="AK9" s="80">
        <f ca="1">IF('Raw Data'!$E$2="","",_xlfn.RANK.EQ($AL9,$AL$3:$AL$14)+COUNTIFS($AL$3:$AL$14,$AL9,$AM$3:$AM$14,"&gt;"&amp;$AM9))</f>
        <v>8</v>
      </c>
      <c r="AL9" s="20">
        <f>IF('Raw Data'!$E$2="","",COUNTIFS($B:$B,X9,$A:$A,"&lt;="&amp;$AK$2,$I:$I,"W")+COUNTIFS($B:$B,X9,$A:$A,"&lt;="&amp;$AK$2,$K:$K,"W"))</f>
        <v>4</v>
      </c>
      <c r="AM9" s="81" cm="1">
        <f t="array" aca="1" ref="AM9" ca="1">IF('Raw Data'!$E$2="","",SUM(OFFSET($D$1,SMALL(IF($B$1:$B$170=X9,ROW($B$1:$B$170)-ROW($B$1)),ROW(INDIRECT("1:"&amp;$AK$2))),0,1)))</f>
        <v>591.94000000000005</v>
      </c>
      <c r="AN9" s="80">
        <f ca="1">IF('Raw Data'!$F$2="","",_xlfn.RANK.EQ($AO9,$AO$3:$AO$14)+COUNTIFS($AO$3:$AO$14,$AO9,$AP$3:$AP$14,"&gt;"&amp;$AP9))</f>
        <v>9</v>
      </c>
      <c r="AO9" s="20">
        <f>IF('Raw Data'!$F$2="","",COUNTIFS($B:$B,X9,$A:$A,"&lt;="&amp;$AN$2,$I:$I,"W")+COUNTIFS($B:$B,X9,$A:$A,"&lt;="&amp;$AN$2,$K:$K,"W"))</f>
        <v>5</v>
      </c>
      <c r="AP9" s="81" cm="1">
        <f t="array" aca="1" ref="AP9" ca="1">IF('Raw Data'!$F$2="","",SUM(OFFSET($D$1,SMALL(IF($B$1:$B$170=X9,ROW($B$1:$B$170)-ROW($B$1)),ROW(INDIRECT("1:"&amp;$AN$2))),0,1)))</f>
        <v>715.1400000000001</v>
      </c>
      <c r="AQ9" s="80">
        <f ca="1">IF('Raw Data'!$G$2="","",_xlfn.RANK.EQ($AR9,$AR$3:$AR$14)+COUNTIFS($AR$3:$AR$14,$AR9,$AS$3:$AS$14,"&gt;"&amp;$AS9))</f>
        <v>9</v>
      </c>
      <c r="AR9" s="20">
        <f>IF('Raw Data'!$G$2="","",COUNTIFS($B:$B,X9,$A:$A,"&lt;="&amp;$AQ$2,$I:$I,"W")+COUNTIFS($B:$B,X9,$A:$A,"&lt;="&amp;$AQ$2,$K:$K,"W"))</f>
        <v>5</v>
      </c>
      <c r="AS9" s="79" cm="1">
        <f t="array" aca="1" ref="AS9" ca="1">IF('Raw Data'!$G$2="","",SUM(OFFSET($D$1,SMALL(IF($B$1:$B$170=X9,ROW($B$1:$B$170)-ROW($B$1)),ROW(INDIRECT("1:"&amp;$AQ$2))),0,1)))</f>
        <v>828.8900000000001</v>
      </c>
      <c r="AT9" s="80">
        <f ca="1">IF('Raw Data'!$H$2="","",_xlfn.RANK.EQ($AU9,$AU$3:$AU$14)+COUNTIFS($AU$3:$AU$14,$AU9,$AV$3:$AV$14,"&gt;"&amp;$AV9))</f>
        <v>9</v>
      </c>
      <c r="AU9" s="20">
        <f>IF('Raw Data'!$H$2="","",COUNTIFS($B:$B,X9,$A:$A,"&lt;="&amp;$AT$2,$I:$I,"W")+COUNTIFS($B:$B,X9,$A:$A,"&lt;="&amp;$AT$2,$K:$K,"W"))</f>
        <v>7</v>
      </c>
      <c r="AV9" s="79" cm="1">
        <f t="array" aca="1" ref="AV9" ca="1">IF('Raw Data'!$H$2="","",SUM(OFFSET($D$1,SMALL(IF($B$1:$B$170=X9,ROW($B$1:$B$170)-ROW($B$1)),ROW(INDIRECT("1:"&amp;$AT$2))),0,1)))</f>
        <v>952.57000000000016</v>
      </c>
      <c r="AW9" s="80">
        <f ca="1">IF('Raw Data'!$I$2="","",_xlfn.RANK.EQ($AX9,$AX$3:$AX$14)+COUNTIFS($AX$3:$AX$14,$AX9,$AY$3:$AY$14,"&gt;"&amp;$AY9))</f>
        <v>9</v>
      </c>
      <c r="AX9" s="20">
        <f>IF('Raw Data'!$I$2="","",COUNTIFS($B:$B,X9,$A:$A,"&lt;="&amp;$AW$2,$I:$I,"W")+COUNTIFS($B:$B,X9,$A:$A,"&lt;="&amp;$AW$2,$K:$K,"W"))</f>
        <v>7</v>
      </c>
      <c r="AY9" s="79" cm="1">
        <f t="array" aca="1" ref="AY9" ca="1">IF('Raw Data'!$I$2="","",SUM(OFFSET($D$1,SMALL(IF($B$1:$B$170=X9,ROW($B$1:$B$170)-ROW($B$1)),ROW(INDIRECT("1:"&amp;$AW$2))),0,1)))</f>
        <v>1052.1600000000001</v>
      </c>
      <c r="AZ9" s="80">
        <f ca="1">IF('Raw Data'!$J$2="","",_xlfn.RANK.EQ($BA9,$BA$3:$BA$14)+COUNTIFS($BA$3:$BA$14,$BA9,$BB$3:$BB$14,"&gt;"&amp;$BB9))</f>
        <v>11</v>
      </c>
      <c r="BA9" s="20">
        <f>IF('Raw Data'!$J$2="","",COUNTIFS($B:$B,X9,$A:$A,"&lt;="&amp;$AZ$2,$I:$I,"W")+COUNTIFS($B:$B,X9,$A:$A,"&lt;="&amp;$AZ$2,$K:$K,"W"))</f>
        <v>7</v>
      </c>
      <c r="BB9" s="79" cm="1">
        <f t="array" aca="1" ref="BB9" ca="1">IF('Raw Data'!$J$2="","",SUM(OFFSET($D$1,SMALL(IF($B$1:$B$170=X9,ROW($B$1:$B$170)-ROW($B$1)),ROW(INDIRECT("1:"&amp;$AZ$2))),0,1)))</f>
        <v>1162.4100000000001</v>
      </c>
      <c r="BC9" s="80">
        <f ca="1">IF('Raw Data'!$K$2="","",_xlfn.RANK.EQ($BD9,$BD$3:$BD$14)+COUNTIFS($BD$3:$BD$14,$BD9,$BE$3:$BE$14,"&gt;"&amp;$BE9))</f>
        <v>9</v>
      </c>
      <c r="BD9" s="20">
        <f>IF('Raw Data'!$K$2="","",COUNTIFS($B:$B,X9,$A:$A,"&lt;="&amp;$BC$2,$I:$I,"W")+COUNTIFS($B:$B,X9,$A:$A,"&lt;="&amp;$BC$2,$K:$K,"W"))</f>
        <v>9</v>
      </c>
      <c r="BE9" s="79" cm="1">
        <f t="array" aca="1" ref="BE9" ca="1">IF('Raw Data'!$K$2="","",SUM(OFFSET($D$1,SMALL(IF($B$1:$B$170=X9,ROW($B$1:$B$170)-ROW($B$1)),ROW(INDIRECT("1:"&amp;$BC$2))),0,1)))</f>
        <v>1299.1000000000001</v>
      </c>
      <c r="BF9" s="80">
        <f ca="1">IF('Raw Data'!$L$2="","",_xlfn.RANK.EQ($BG9,$BG$3:$BG$14)+COUNTIFS($BG$3:$BG$14,$BG9,$BH$3:$BH$14,"&gt;"&amp;$BH9))</f>
        <v>10</v>
      </c>
      <c r="BG9" s="20">
        <f>IF('Raw Data'!$L$2="","",COUNTIFS($B:$B,X9,$A:$A,"&lt;="&amp;$BF$2,$I:$I,"W")+COUNTIFS($B:$B,X9,$A:$A,"&lt;="&amp;$BF$2,$K:$K,"W"))</f>
        <v>9</v>
      </c>
      <c r="BH9" s="79" cm="1">
        <f t="array" aca="1" ref="BH9" ca="1">IF('Raw Data'!$L$2="","",SUM(OFFSET($D$1,SMALL(IF($B$1:$B$170=X9,ROW($B$1:$B$170)-ROW($B$1)),ROW(INDIRECT("1:"&amp;$BF$2))),0,1)))</f>
        <v>1399.5900000000001</v>
      </c>
      <c r="BI9" s="80">
        <f ca="1">IF('Raw Data'!$M$2="","",_xlfn.RANK.EQ($BJ9,$BJ$3:$BJ$14)+COUNTIFS($BJ$3:$BJ$14,$BJ9,$BK$3:$BK$14,"&gt;"&amp;$BK9))</f>
        <v>9</v>
      </c>
      <c r="BJ9" s="20">
        <f>IF('Raw Data'!$M$2="","",COUNTIFS($B:$B,X9,$A:$A,"&lt;="&amp;$BI$2,$I:$I,"W")+COUNTIFS($B:$B,X9,$A:$A,"&lt;="&amp;$BI$2,$K:$K,"W"))</f>
        <v>11</v>
      </c>
      <c r="BK9" s="79" cm="1">
        <f t="array" aca="1" ref="BK9" ca="1">IF('Raw Data'!$M$2="","",SUM(OFFSET($D$1,SMALL(IF($B$1:$B$170=X9,ROW($B$1:$B$170)-ROW($B$1)),ROW(INDIRECT("1:"&amp;$BI$2))),0,1)))</f>
        <v>1526.2500000000002</v>
      </c>
      <c r="BL9" s="80">
        <f ca="1">IF('Raw Data'!$N$2="","",_xlfn.RANK.EQ($BM9,$BM$3:$BM$14)+COUNTIFS($BM$3:$BM$14,$BM9,$BN$3:$BN$14,"&gt;"&amp;$BN9))</f>
        <v>9</v>
      </c>
      <c r="BM9" s="20">
        <f>IF('Raw Data'!$N$2="","",COUNTIFS($B:$B,X9,$A:$A,"&lt;="&amp;$BL$2,$I:$I,"W")+COUNTIFS($B:$B,X9,$A:$A,"&lt;="&amp;$BL$2,$K:$K,"W"))</f>
        <v>12</v>
      </c>
      <c r="BN9" s="79" cm="1">
        <f t="array" aca="1" ref="BN9" ca="1">IF('Raw Data'!$N$2="","",SUM(OFFSET($D$1,SMALL(IF($B$1:$B$170=X9,ROW($B$1:$B$170)-ROW($B$1)),ROW(INDIRECT("1:"&amp;$BL$2))),0,1)))</f>
        <v>1644.1800000000003</v>
      </c>
    </row>
    <row r="10" spans="1:66" x14ac:dyDescent="0.2">
      <c r="A10" s="23">
        <v>1</v>
      </c>
      <c r="B10" s="24" t="str">
        <f>IF('Raw Data'!$A$22="","",'Raw Data'!$A$22)</f>
        <v>Tick Tock the Crocodile</v>
      </c>
      <c r="C10" s="45" t="str">
        <f>IF(B10="","",_xlfn.XLOOKUP(B10,'Raw Data'!$P$3:$P$16,'Raw Data'!$Q$3:$Q$16,0,0,1))</f>
        <v>Jared</v>
      </c>
      <c r="D10" s="25">
        <f>IF('Raw Data'!$A$19="","",'Raw Data'!$A$19)</f>
        <v>119.28</v>
      </c>
      <c r="E10" s="18" t="s">
        <v>1</v>
      </c>
      <c r="F10" s="25">
        <f>IF('Raw Data'!$A$16="","",'Raw Data'!$A$16)</f>
        <v>136.82</v>
      </c>
      <c r="G10" s="45" t="str">
        <f>IF(H10="","",_xlfn.XLOOKUP(H10,'Raw Data'!$P$3:$P$16,'Raw Data'!$Q$3:$Q$16,0,0,1))</f>
        <v>Stefan</v>
      </c>
      <c r="H10" s="27" t="str">
        <f>IF('Raw Data'!$A$13="","",'Raw Data'!$A$13)</f>
        <v>Prince Abooboo</v>
      </c>
      <c r="I10" s="23" t="str">
        <f t="shared" si="1"/>
        <v>L</v>
      </c>
      <c r="J10" s="23">
        <f t="shared" si="2"/>
        <v>6</v>
      </c>
      <c r="K10" s="23" t="str">
        <f t="shared" si="3"/>
        <v>W</v>
      </c>
      <c r="L10" s="25">
        <f t="shared" si="4"/>
        <v>-17.539999999999992</v>
      </c>
      <c r="N10" s="30">
        <f t="shared" si="5"/>
        <v>10</v>
      </c>
      <c r="O10" s="30">
        <f t="shared" si="0"/>
        <v>10</v>
      </c>
      <c r="P10" s="31">
        <f>IF(Q10="","",_xlfn.RANK.EQ($R10,$R$7:$R$10)+COUNTIFS($R$7:$R$10,$R10,$U$7:$U$10,"&gt;"&amp;$U10))</f>
        <v>4</v>
      </c>
      <c r="Q10" s="30" t="str">
        <f>IF('Raw Data'!P11="","",'Raw Data'!P11)</f>
        <v>Aladdin Jazerra</v>
      </c>
      <c r="R10" s="30">
        <f>IF(Q10="","",COUNTIFS(Calculations!$B$3:$B$170,$Q10,Calculations!$I$3:$I$170,"W")+COUNTIFS(Calculations!$B$3:$B$170,$Q10,Calculations!$K$3:$K$170,"W"))</f>
        <v>11</v>
      </c>
      <c r="S10" s="30">
        <f>IF(Q10="","",COUNTIFS(Calculations!$B$3:$B$170,$Q10,Calculations!$I$3:$I$170,"L")+COUNTIFS(Calculations!$B$3:$B$170,$Q10,Calculations!$K$3:$K$170,"L"))</f>
        <v>17</v>
      </c>
      <c r="T10" s="30">
        <f>IF(Q10="","",COUNTIFS(Calculations!$B$3:$B$170,$Q10,Calculations!$I$3:$I$170,"T"))</f>
        <v>0</v>
      </c>
      <c r="U10" s="32">
        <f>IF(Q10="","",SUMIF(Calculations!$B$3:$B$170,$Q10,Calculations!$D$3:$D$170))</f>
        <v>1641.5600000000002</v>
      </c>
      <c r="V10" s="32">
        <f>IF(Q10="","",SUMIF(Calculations!$B$3:$B$170,$Q10,Calculations!$F$3:$F$170))</f>
        <v>1669.07</v>
      </c>
      <c r="X10" s="78" t="str">
        <f t="shared" si="6"/>
        <v>Aladdin Jazerra</v>
      </c>
      <c r="Y10" s="20">
        <f ca="1">IF('Raw Data'!$A$2="","",_xlfn.RANK.EQ($Z10,$Z$3:$Z$14)+COUNTIFS($Z$3:$Z$14,$Z10,$AA$3:$AA$14,"&gt;"&amp;$AA10))</f>
        <v>10</v>
      </c>
      <c r="Z10" s="20">
        <f>IF('Raw Data'!$A$2="","",COUNTIFS($B:$B, X10, $A:$A, "&lt;=" &amp; $Y$2, $I:$I, "W") + COUNTIFS($B:$B, X10, $A:$A, "&lt;=" &amp; $Y$2, $K:$K, "W"))</f>
        <v>0</v>
      </c>
      <c r="AA10" s="79" cm="1">
        <f t="array" aca="1" ref="AA10" ca="1">IF('Raw Data'!$A$2="","",SUM(OFFSET($D$1, SMALL(IF($B$1:$B$170=X10, ROW($B$1:$B$170)-ROW($B$1)), ROW(INDIRECT("1:"&amp;$Y$2))), 0, 1)))</f>
        <v>91.75</v>
      </c>
      <c r="AB10" s="80">
        <f ca="1">IF('Raw Data'!$B$2="","",_xlfn.RANK.EQ($AC10,$AC$3:$AC$14)+COUNTIFS($AC$3:$AC$14,$AC10,$AD$3:$AD$14,"&gt;"&amp;$AD10))</f>
        <v>12</v>
      </c>
      <c r="AC10" s="20">
        <f>IF('Raw Data'!$B$2="","",COUNTIFS($B:$B,X10,$A:$A,"&lt;="&amp;$AB$2,$I:$I,"W")+COUNTIFS($B:$B,X10,$A:$A,"&lt;="&amp;$AB$2,$K:$K,"W"))</f>
        <v>0</v>
      </c>
      <c r="AD10" s="81" cm="1">
        <f t="array" aca="1" ref="AD10" ca="1">IF('Raw Data'!$B$2="","",SUM(OFFSET($D$1,SMALL(IF($B$1:$B$170=X10,ROW($B$1:$B$170)-ROW($B$1)),ROW(INDIRECT("1:"&amp;$AB$2))),0,1)))</f>
        <v>192.51999999999998</v>
      </c>
      <c r="AE10" s="80">
        <f ca="1">IF('Raw Data'!$C$2="","",_xlfn.RANK.EQ($AF10,$AF$3:$AF$14)+COUNTIFS($AF$3:$AF$14,$AF10,$AG$3:$AG$14,"&gt;"&amp;$AG10))</f>
        <v>12</v>
      </c>
      <c r="AF10" s="20">
        <f>IF('Raw Data'!$C$2="","",COUNTIFS($B:$B,X10,$A:$A,"&lt;="&amp;$AE$2,$I:$I,"W")+COUNTIFS($B:$B,X10,$A:$A,"&lt;="&amp;$AE$2,$K:$K,"W"))</f>
        <v>0</v>
      </c>
      <c r="AG10" s="81" cm="1">
        <f t="array" aca="1" ref="AG10" ca="1">IF('Raw Data'!$C$2="","",SUM(OFFSET($D$1,SMALL(IF($B$1:$B$170=X10,ROW($B$1:$B$170)-ROW($B$1)),ROW(INDIRECT("1:"&amp;$AE$2))),0,1)))</f>
        <v>284.33</v>
      </c>
      <c r="AH10" s="80">
        <f ca="1">IF('Raw Data'!$D$2="","",_xlfn.RANK.EQ($AI10,$AI$3:$AI$14)+COUNTIFS($AI$3:$AI$14,$AI10,$AJ$3:$AJ$14,"&gt;"&amp;$AJ10))</f>
        <v>12</v>
      </c>
      <c r="AI10" s="20">
        <f>IF('Raw Data'!$D$2="","",COUNTIFS($B:$B,X10,$A:$A,"&lt;="&amp;$AH$2,$I:$I,"W")+COUNTIFS($B:$B,X10,$A:$A,"&lt;="&amp;$AH$2,$K:$K,"W"))</f>
        <v>1</v>
      </c>
      <c r="AJ10" s="79" cm="1">
        <f t="array" aca="1" ref="AJ10" ca="1">IF('Raw Data'!$D$2="","",SUM(OFFSET($D$1,SMALL(IF($B$1:$B$170=X10,ROW($B$1:$B$170)-ROW($B$1)),ROW(INDIRECT("1:"&amp;$AH$2))),0,1)))</f>
        <v>413.4</v>
      </c>
      <c r="AK10" s="80">
        <f ca="1">IF('Raw Data'!$E$2="","",_xlfn.RANK.EQ($AL10,$AL$3:$AL$14)+COUNTIFS($AL$3:$AL$14,$AL10,$AM$3:$AM$14,"&gt;"&amp;$AM10))</f>
        <v>10</v>
      </c>
      <c r="AL10" s="20">
        <f>IF('Raw Data'!$E$2="","",COUNTIFS($B:$B,X10,$A:$A,"&lt;="&amp;$AK$2,$I:$I,"W")+COUNTIFS($B:$B,X10,$A:$A,"&lt;="&amp;$AK$2,$K:$K,"W"))</f>
        <v>2</v>
      </c>
      <c r="AM10" s="81" cm="1">
        <f t="array" aca="1" ref="AM10" ca="1">IF('Raw Data'!$E$2="","",SUM(OFFSET($D$1,SMALL(IF($B$1:$B$170=X10,ROW($B$1:$B$170)-ROW($B$1)),ROW(INDIRECT("1:"&amp;$AK$2))),0,1)))</f>
        <v>546.87</v>
      </c>
      <c r="AN10" s="80">
        <f ca="1">IF('Raw Data'!$F$2="","",_xlfn.RANK.EQ($AO10,$AO$3:$AO$14)+COUNTIFS($AO$3:$AO$14,$AO10,$AP$3:$AP$14,"&gt;"&amp;$AP10))</f>
        <v>10</v>
      </c>
      <c r="AO10" s="20">
        <f>IF('Raw Data'!$F$2="","",COUNTIFS($B:$B,X10,$A:$A,"&lt;="&amp;$AN$2,$I:$I,"W")+COUNTIFS($B:$B,X10,$A:$A,"&lt;="&amp;$AN$2,$K:$K,"W"))</f>
        <v>2</v>
      </c>
      <c r="AP10" s="81" cm="1">
        <f t="array" aca="1" ref="AP10" ca="1">IF('Raw Data'!$F$2="","",SUM(OFFSET($D$1,SMALL(IF($B$1:$B$170=X10,ROW($B$1:$B$170)-ROW($B$1)),ROW(INDIRECT("1:"&amp;$AN$2))),0,1)))</f>
        <v>649.6</v>
      </c>
      <c r="AQ10" s="80">
        <f ca="1">IF('Raw Data'!$G$2="","",_xlfn.RANK.EQ($AR10,$AR$3:$AR$14)+COUNTIFS($AR$3:$AR$14,$AR10,$AS$3:$AS$14,"&gt;"&amp;$AS10))</f>
        <v>11</v>
      </c>
      <c r="AR10" s="20">
        <f>IF('Raw Data'!$G$2="","",COUNTIFS($B:$B,X10,$A:$A,"&lt;="&amp;$AQ$2,$I:$I,"W")+COUNTIFS($B:$B,X10,$A:$A,"&lt;="&amp;$AQ$2,$K:$K,"W"))</f>
        <v>3</v>
      </c>
      <c r="AS10" s="79" cm="1">
        <f t="array" aca="1" ref="AS10" ca="1">IF('Raw Data'!$G$2="","",SUM(OFFSET($D$1,SMALL(IF($B$1:$B$170=X10,ROW($B$1:$B$170)-ROW($B$1)),ROW(INDIRECT("1:"&amp;$AQ$2))),0,1)))</f>
        <v>751.01</v>
      </c>
      <c r="AT10" s="80">
        <f ca="1">IF('Raw Data'!$H$2="","",_xlfn.RANK.EQ($AU10,$AU$3:$AU$14)+COUNTIFS($AU$3:$AU$14,$AU10,$AV$3:$AV$14,"&gt;"&amp;$AV10))</f>
        <v>10</v>
      </c>
      <c r="AU10" s="20">
        <f>IF('Raw Data'!$H$2="","",COUNTIFS($B:$B,X10,$A:$A,"&lt;="&amp;$AT$2,$I:$I,"W")+COUNTIFS($B:$B,X10,$A:$A,"&lt;="&amp;$AT$2,$K:$K,"W"))</f>
        <v>5</v>
      </c>
      <c r="AV10" s="79" cm="1">
        <f t="array" aca="1" ref="AV10" ca="1">IF('Raw Data'!$H$2="","",SUM(OFFSET($D$1,SMALL(IF($B$1:$B$170=X10,ROW($B$1:$B$170)-ROW($B$1)),ROW(INDIRECT("1:"&amp;$AT$2))),0,1)))</f>
        <v>930.61</v>
      </c>
      <c r="AW10" s="80">
        <f ca="1">IF('Raw Data'!$I$2="","",_xlfn.RANK.EQ($AX10,$AX$3:$AX$14)+COUNTIFS($AX$3:$AX$14,$AX10,$AY$3:$AY$14,"&gt;"&amp;$AY10))</f>
        <v>10</v>
      </c>
      <c r="AX10" s="20">
        <f>IF('Raw Data'!$I$2="","",COUNTIFS($B:$B,X10,$A:$A,"&lt;="&amp;$AW$2,$I:$I,"W")+COUNTIFS($B:$B,X10,$A:$A,"&lt;="&amp;$AW$2,$K:$K,"W"))</f>
        <v>6</v>
      </c>
      <c r="AY10" s="79" cm="1">
        <f t="array" aca="1" ref="AY10" ca="1">IF('Raw Data'!$I$2="","",SUM(OFFSET($D$1,SMALL(IF($B$1:$B$170=X10,ROW($B$1:$B$170)-ROW($B$1)),ROW(INDIRECT("1:"&amp;$AW$2))),0,1)))</f>
        <v>1065.1500000000001</v>
      </c>
      <c r="AZ10" s="80">
        <f ca="1">IF('Raw Data'!$J$2="","",_xlfn.RANK.EQ($BA10,$BA$3:$BA$14)+COUNTIFS($BA$3:$BA$14,$BA10,$BB$3:$BB$14,"&gt;"&amp;$BB10))</f>
        <v>9</v>
      </c>
      <c r="BA10" s="20">
        <f>IF('Raw Data'!$J$2="","",COUNTIFS($B:$B,X10,$A:$A,"&lt;="&amp;$AZ$2,$I:$I,"W")+COUNTIFS($B:$B,X10,$A:$A,"&lt;="&amp;$AZ$2,$K:$K,"W"))</f>
        <v>8</v>
      </c>
      <c r="BB10" s="79" cm="1">
        <f t="array" aca="1" ref="BB10" ca="1">IF('Raw Data'!$J$2="","",SUM(OFFSET($D$1,SMALL(IF($B$1:$B$170=X10,ROW($B$1:$B$170)-ROW($B$1)),ROW(INDIRECT("1:"&amp;$AZ$2))),0,1)))</f>
        <v>1210.45</v>
      </c>
      <c r="BC10" s="80">
        <f ca="1">IF('Raw Data'!$K$2="","",_xlfn.RANK.EQ($BD10,$BD$3:$BD$14)+COUNTIFS($BD$3:$BD$14,$BD10,$BE$3:$BE$14,"&gt;"&amp;$BE10))</f>
        <v>10</v>
      </c>
      <c r="BD10" s="20">
        <f>IF('Raw Data'!$K$2="","",COUNTIFS($B:$B,X10,$A:$A,"&lt;="&amp;$BC$2,$I:$I,"W")+COUNTIFS($B:$B,X10,$A:$A,"&lt;="&amp;$BC$2,$K:$K,"W"))</f>
        <v>9</v>
      </c>
      <c r="BE10" s="79" cm="1">
        <f t="array" aca="1" ref="BE10" ca="1">IF('Raw Data'!$K$2="","",SUM(OFFSET($D$1,SMALL(IF($B$1:$B$170=X10,ROW($B$1:$B$170)-ROW($B$1)),ROW(INDIRECT("1:"&amp;$BC$2))),0,1)))</f>
        <v>1298.1500000000001</v>
      </c>
      <c r="BF10" s="80">
        <f ca="1">IF('Raw Data'!$L$2="","",_xlfn.RANK.EQ($BG10,$BG$3:$BG$14)+COUNTIFS($BG$3:$BG$14,$BG10,$BH$3:$BH$14,"&gt;"&amp;$BH10))</f>
        <v>9</v>
      </c>
      <c r="BG10" s="20">
        <f>IF('Raw Data'!$L$2="","",COUNTIFS($B:$B,X10,$A:$A,"&lt;="&amp;$BF$2,$I:$I,"W")+COUNTIFS($B:$B,X10,$A:$A,"&lt;="&amp;$BF$2,$K:$K,"W"))</f>
        <v>10</v>
      </c>
      <c r="BH10" s="79" cm="1">
        <f t="array" aca="1" ref="BH10" ca="1">IF('Raw Data'!$L$2="","",SUM(OFFSET($D$1,SMALL(IF($B$1:$B$170=X10,ROW($B$1:$B$170)-ROW($B$1)),ROW(INDIRECT("1:"&amp;$BF$2))),0,1)))</f>
        <v>1426.1000000000001</v>
      </c>
      <c r="BI10" s="80">
        <f ca="1">IF('Raw Data'!$M$2="","",_xlfn.RANK.EQ($BJ10,$BJ$3:$BJ$14)+COUNTIFS($BJ$3:$BJ$14,$BJ10,$BK$3:$BK$14,"&gt;"&amp;$BK10))</f>
        <v>10</v>
      </c>
      <c r="BJ10" s="20">
        <f>IF('Raw Data'!$M$2="","",COUNTIFS($B:$B,X10,$A:$A,"&lt;="&amp;$BI$2,$I:$I,"W")+COUNTIFS($B:$B,X10,$A:$A,"&lt;="&amp;$BI$2,$K:$K,"W"))</f>
        <v>10</v>
      </c>
      <c r="BK10" s="79" cm="1">
        <f t="array" aca="1" ref="BK10" ca="1">IF('Raw Data'!$M$2="","",SUM(OFFSET($D$1,SMALL(IF($B$1:$B$170=X10,ROW($B$1:$B$170)-ROW($B$1)),ROW(INDIRECT("1:"&amp;$BI$2))),0,1)))</f>
        <v>1531.0200000000002</v>
      </c>
      <c r="BL10" s="80">
        <f ca="1">IF('Raw Data'!$N$2="","",_xlfn.RANK.EQ($BM10,$BM$3:$BM$14)+COUNTIFS($BM$3:$BM$14,$BM10,$BN$3:$BN$14,"&gt;"&amp;$BN10))</f>
        <v>10</v>
      </c>
      <c r="BM10" s="20">
        <f>IF('Raw Data'!$N$2="","",COUNTIFS($B:$B,X10,$A:$A,"&lt;="&amp;$BL$2,$I:$I,"W")+COUNTIFS($B:$B,X10,$A:$A,"&lt;="&amp;$BL$2,$K:$K,"W"))</f>
        <v>11</v>
      </c>
      <c r="BN10" s="79" cm="1">
        <f t="array" aca="1" ref="BN10" ca="1">IF('Raw Data'!$N$2="","",SUM(OFFSET($D$1,SMALL(IF($B$1:$B$170=X10,ROW($B$1:$B$170)-ROW($B$1)),ROW(INDIRECT("1:"&amp;$BL$2))),0,1)))</f>
        <v>1641.5600000000002</v>
      </c>
    </row>
    <row r="11" spans="1:66" x14ac:dyDescent="0.2">
      <c r="A11" s="23">
        <v>1</v>
      </c>
      <c r="B11" s="24" t="str">
        <f>IF('Raw Data'!$A$33="","",'Raw Data'!$A$33)</f>
        <v>We're all mad here</v>
      </c>
      <c r="C11" s="45" t="str">
        <f>IF(B11="","",_xlfn.XLOOKUP(B11,'Raw Data'!$P$3:$P$16,'Raw Data'!$Q$3:$Q$16,0,0,1))</f>
        <v>Rico</v>
      </c>
      <c r="D11" s="25">
        <f>IF('Raw Data'!$A$30="","",'Raw Data'!$A$30)</f>
        <v>106.19</v>
      </c>
      <c r="E11" s="18" t="s">
        <v>1</v>
      </c>
      <c r="F11" s="25">
        <f>IF('Raw Data'!$A$27="","",'Raw Data'!$A$27)</f>
        <v>113.23</v>
      </c>
      <c r="G11" s="45" t="str">
        <f>IF(H11="","",_xlfn.XLOOKUP(H11,'Raw Data'!$P$3:$P$16,'Raw Data'!$Q$3:$Q$16,0,0,1))</f>
        <v>Beau</v>
      </c>
      <c r="H11" s="27" t="str">
        <f>IF('Raw Data'!$A$24="","",'Raw Data'!$A$24)</f>
        <v>Jafar</v>
      </c>
      <c r="I11" s="23" t="str">
        <f t="shared" si="1"/>
        <v>L</v>
      </c>
      <c r="J11" s="23">
        <f t="shared" si="2"/>
        <v>9</v>
      </c>
      <c r="K11" s="23" t="str">
        <f t="shared" si="3"/>
        <v>L</v>
      </c>
      <c r="L11" s="25">
        <f t="shared" si="4"/>
        <v>-7.0400000000000063</v>
      </c>
      <c r="N11" s="23">
        <f t="shared" si="5"/>
        <v>5</v>
      </c>
      <c r="O11" s="23">
        <f t="shared" si="0"/>
        <v>5</v>
      </c>
      <c r="P11" s="29">
        <f>IF(Q11="","",_xlfn.RANK.EQ($R11,$R$11:$R$14)+COUNTIFS($R$11:$R$14,$R11,$U$11:$U$14,"&gt;"&amp;$U11))</f>
        <v>2</v>
      </c>
      <c r="Q11" s="23" t="str">
        <f>IF('Raw Data'!P13="","",'Raw Data'!P13)</f>
        <v>Prince Abooboo</v>
      </c>
      <c r="R11" s="23">
        <f>IF(Q11="","",COUNTIFS(Calculations!$B$3:$B$170,$Q11,Calculations!$I$3:$I$170,"W")+COUNTIFS(Calculations!$B$3:$B$170,$Q11,Calculations!$K$3:$K$170,"W"))</f>
        <v>14</v>
      </c>
      <c r="S11" s="23">
        <f>IF(Q11="","",COUNTIFS(Calculations!$B$3:$B$170,$Q11,Calculations!$I$3:$I$170,"L")+COUNTIFS(Calculations!$B$3:$B$170,$Q11,Calculations!$K$3:$K$170,"L"))</f>
        <v>14</v>
      </c>
      <c r="T11" s="23">
        <f>IF(Q11="","",COUNTIFS(Calculations!$B$3:$B$170,$Q11,Calculations!$I$3:$I$170,"T"))</f>
        <v>0</v>
      </c>
      <c r="U11" s="25">
        <f>IF(Q11="","",SUMIF(Calculations!$B$3:$B$170,$Q11,Calculations!$D$3:$D$170))</f>
        <v>1729.3099999999995</v>
      </c>
      <c r="V11" s="25">
        <f>IF(Q11="","",SUMIF(Calculations!$B$3:$B$170,$Q11,Calculations!$F$3:$F$170))</f>
        <v>1822.0399999999997</v>
      </c>
      <c r="X11" s="78" t="str">
        <f t="shared" si="6"/>
        <v>Prince Abooboo</v>
      </c>
      <c r="Y11" s="20">
        <f ca="1">IF('Raw Data'!$A$2="","",_xlfn.RANK.EQ($Z11,$Z$3:$Z$14)+COUNTIFS($Z$3:$Z$14,$Z11,$AA$3:$AA$14,"&gt;"&amp;$AA11))</f>
        <v>3</v>
      </c>
      <c r="Z11" s="20">
        <f>IF('Raw Data'!$A$2="","",COUNTIFS($B:$B, X11, $A:$A, "&lt;=" &amp; $Y$2, $I:$I, "W") + COUNTIFS($B:$B, X11, $A:$A, "&lt;=" &amp; $Y$2, $K:$K, "W"))</f>
        <v>2</v>
      </c>
      <c r="AA11" s="79" cm="1">
        <f t="array" aca="1" ref="AA11" ca="1">IF('Raw Data'!$A$2="","",SUM(OFFSET($D$1, SMALL(IF($B$1:$B$170=X11, ROW($B$1:$B$170)-ROW($B$1)), ROW(INDIRECT("1:"&amp;$Y$2))), 0, 1)))</f>
        <v>136.82</v>
      </c>
      <c r="AB11" s="80">
        <f ca="1">IF('Raw Data'!$B$2="","",_xlfn.RANK.EQ($AC11,$AC$3:$AC$14)+COUNTIFS($AC$3:$AC$14,$AC11,$AD$3:$AD$14,"&gt;"&amp;$AD11))</f>
        <v>5</v>
      </c>
      <c r="AC11" s="20">
        <f>IF('Raw Data'!$B$2="","",COUNTIFS($B:$B,X11,$A:$A,"&lt;="&amp;$AB$2,$I:$I,"W")+COUNTIFS($B:$B,X11,$A:$A,"&lt;="&amp;$AB$2,$K:$K,"W"))</f>
        <v>2</v>
      </c>
      <c r="AD11" s="81" cm="1">
        <f t="array" aca="1" ref="AD11" ca="1">IF('Raw Data'!$B$2="","",SUM(OFFSET($D$1,SMALL(IF($B$1:$B$170=X11,ROW($B$1:$B$170)-ROW($B$1)),ROW(INDIRECT("1:"&amp;$AB$2))),0,1)))</f>
        <v>250.01999999999998</v>
      </c>
      <c r="AE11" s="80">
        <f ca="1">IF('Raw Data'!$C$2="","",_xlfn.RANK.EQ($AF11,$AF$3:$AF$14)+COUNTIFS($AF$3:$AF$14,$AF11,$AG$3:$AG$14,"&gt;"&amp;$AG11))</f>
        <v>5</v>
      </c>
      <c r="AF11" s="20">
        <f>IF('Raw Data'!$C$2="","",COUNTIFS($B:$B,X11,$A:$A,"&lt;="&amp;$AE$2,$I:$I,"W")+COUNTIFS($B:$B,X11,$A:$A,"&lt;="&amp;$AE$2,$K:$K,"W"))</f>
        <v>4</v>
      </c>
      <c r="AG11" s="81" cm="1">
        <f t="array" aca="1" ref="AG11" ca="1">IF('Raw Data'!$C$2="","",SUM(OFFSET($D$1,SMALL(IF($B$1:$B$170=X11,ROW($B$1:$B$170)-ROW($B$1)),ROW(INDIRECT("1:"&amp;$AE$2))),0,1)))</f>
        <v>371.97999999999996</v>
      </c>
      <c r="AH11" s="80">
        <f ca="1">IF('Raw Data'!$D$2="","",_xlfn.RANK.EQ($AI11,$AI$3:$AI$14)+COUNTIFS($AI$3:$AI$14,$AI11,$AJ$3:$AJ$14,"&gt;"&amp;$AJ11))</f>
        <v>3</v>
      </c>
      <c r="AI11" s="20">
        <f>IF('Raw Data'!$D$2="","",COUNTIFS($B:$B,X11,$A:$A,"&lt;="&amp;$AH$2,$I:$I,"W")+COUNTIFS($B:$B,X11,$A:$A,"&lt;="&amp;$AH$2,$K:$K,"W"))</f>
        <v>6</v>
      </c>
      <c r="AJ11" s="79" cm="1">
        <f t="array" aca="1" ref="AJ11" ca="1">IF('Raw Data'!$D$2="","",SUM(OFFSET($D$1,SMALL(IF($B$1:$B$170=X11,ROW($B$1:$B$170)-ROW($B$1)),ROW(INDIRECT("1:"&amp;$AH$2))),0,1)))</f>
        <v>521.11999999999989</v>
      </c>
      <c r="AK11" s="80">
        <f ca="1">IF('Raw Data'!$E$2="","",_xlfn.RANK.EQ($AL11,$AL$3:$AL$14)+COUNTIFS($AL$3:$AL$14,$AL11,$AM$3:$AM$14,"&gt;"&amp;$AM11))</f>
        <v>2</v>
      </c>
      <c r="AL11" s="20">
        <f>IF('Raw Data'!$E$2="","",COUNTIFS($B:$B,X11,$A:$A,"&lt;="&amp;$AK$2,$I:$I,"W")+COUNTIFS($B:$B,X11,$A:$A,"&lt;="&amp;$AK$2,$K:$K,"W"))</f>
        <v>8</v>
      </c>
      <c r="AM11" s="81" cm="1">
        <f t="array" aca="1" ref="AM11" ca="1">IF('Raw Data'!$E$2="","",SUM(OFFSET($D$1,SMALL(IF($B$1:$B$170=X11,ROW($B$1:$B$170)-ROW($B$1)),ROW(INDIRECT("1:"&amp;$AK$2))),0,1)))</f>
        <v>684.40999999999985</v>
      </c>
      <c r="AN11" s="80">
        <f ca="1">IF('Raw Data'!$F$2="","",_xlfn.RANK.EQ($AO11,$AO$3:$AO$14)+COUNTIFS($AO$3:$AO$14,$AO11,$AP$3:$AP$14,"&gt;"&amp;$AP11))</f>
        <v>3</v>
      </c>
      <c r="AO11" s="20">
        <f>IF('Raw Data'!$F$2="","",COUNTIFS($B:$B,X11,$A:$A,"&lt;="&amp;$AN$2,$I:$I,"W")+COUNTIFS($B:$B,X11,$A:$A,"&lt;="&amp;$AN$2,$K:$K,"W"))</f>
        <v>8</v>
      </c>
      <c r="AP11" s="81" cm="1">
        <f t="array" aca="1" ref="AP11" ca="1">IF('Raw Data'!$F$2="","",SUM(OFFSET($D$1,SMALL(IF($B$1:$B$170=X11,ROW($B$1:$B$170)-ROW($B$1)),ROW(INDIRECT("1:"&amp;$AN$2))),0,1)))</f>
        <v>801.7199999999998</v>
      </c>
      <c r="AQ11" s="80">
        <f ca="1">IF('Raw Data'!$G$2="","",_xlfn.RANK.EQ($AR11,$AR$3:$AR$14)+COUNTIFS($AR$3:$AR$14,$AR11,$AS$3:$AS$14,"&gt;"&amp;$AS11))</f>
        <v>4</v>
      </c>
      <c r="AR11" s="20">
        <f>IF('Raw Data'!$G$2="","",COUNTIFS($B:$B,X11,$A:$A,"&lt;="&amp;$AQ$2,$I:$I,"W")+COUNTIFS($B:$B,X11,$A:$A,"&lt;="&amp;$AQ$2,$K:$K,"W"))</f>
        <v>8</v>
      </c>
      <c r="AS11" s="79" cm="1">
        <f t="array" aca="1" ref="AS11" ca="1">IF('Raw Data'!$G$2="","",SUM(OFFSET($D$1,SMALL(IF($B$1:$B$170=X11,ROW($B$1:$B$170)-ROW($B$1)),ROW(INDIRECT("1:"&amp;$AQ$2))),0,1)))</f>
        <v>881.5999999999998</v>
      </c>
      <c r="AT11" s="80">
        <f ca="1">IF('Raw Data'!$H$2="","",_xlfn.RANK.EQ($AU11,$AU$3:$AU$14)+COUNTIFS($AU$3:$AU$14,$AU11,$AV$3:$AV$14,"&gt;"&amp;$AV11))</f>
        <v>7</v>
      </c>
      <c r="AU11" s="20">
        <f>IF('Raw Data'!$H$2="","",COUNTIFS($B:$B,X11,$A:$A,"&lt;="&amp;$AT$2,$I:$I,"W")+COUNTIFS($B:$B,X11,$A:$A,"&lt;="&amp;$AT$2,$K:$K,"W"))</f>
        <v>8</v>
      </c>
      <c r="AV11" s="79" cm="1">
        <f t="array" aca="1" ref="AV11" ca="1">IF('Raw Data'!$H$2="","",SUM(OFFSET($D$1,SMALL(IF($B$1:$B$170=X11,ROW($B$1:$B$170)-ROW($B$1)),ROW(INDIRECT("1:"&amp;$AT$2))),0,1)))</f>
        <v>995.22999999999979</v>
      </c>
      <c r="AW11" s="80">
        <f ca="1">IF('Raw Data'!$I$2="","",_xlfn.RANK.EQ($AX11,$AX$3:$AX$14)+COUNTIFS($AX$3:$AX$14,$AX11,$AY$3:$AY$14,"&gt;"&amp;$AY11))</f>
        <v>6</v>
      </c>
      <c r="AX11" s="20">
        <f>IF('Raw Data'!$I$2="","",COUNTIFS($B:$B,X11,$A:$A,"&lt;="&amp;$AW$2,$I:$I,"W")+COUNTIFS($B:$B,X11,$A:$A,"&lt;="&amp;$AW$2,$K:$K,"W"))</f>
        <v>10</v>
      </c>
      <c r="AY11" s="79" cm="1">
        <f t="array" aca="1" ref="AY11" ca="1">IF('Raw Data'!$I$2="","",SUM(OFFSET($D$1,SMALL(IF($B$1:$B$170=X11,ROW($B$1:$B$170)-ROW($B$1)),ROW(INDIRECT("1:"&amp;$AW$2))),0,1)))</f>
        <v>1139.5799999999997</v>
      </c>
      <c r="AZ11" s="80">
        <f ca="1">IF('Raw Data'!$J$2="","",_xlfn.RANK.EQ($BA11,$BA$3:$BA$14)+COUNTIFS($BA$3:$BA$14,$BA11,$BB$3:$BB$14,"&gt;"&amp;$BB11))</f>
        <v>6</v>
      </c>
      <c r="BA11" s="20">
        <f>IF('Raw Data'!$J$2="","",COUNTIFS($B:$B,X11,$A:$A,"&lt;="&amp;$AZ$2,$I:$I,"W")+COUNTIFS($B:$B,X11,$A:$A,"&lt;="&amp;$AZ$2,$K:$K,"W"))</f>
        <v>10</v>
      </c>
      <c r="BB11" s="79" cm="1">
        <f t="array" aca="1" ref="BB11" ca="1">IF('Raw Data'!$J$2="","",SUM(OFFSET($D$1,SMALL(IF($B$1:$B$170=X11,ROW($B$1:$B$170)-ROW($B$1)),ROW(INDIRECT("1:"&amp;$AZ$2))),0,1)))</f>
        <v>1244.1699999999996</v>
      </c>
      <c r="BC11" s="80">
        <f ca="1">IF('Raw Data'!$K$2="","",_xlfn.RANK.EQ($BD11,$BD$3:$BD$14)+COUNTIFS($BD$3:$BD$14,$BD11,$BE$3:$BE$14,"&gt;"&amp;$BE11))</f>
        <v>6</v>
      </c>
      <c r="BD11" s="20">
        <f>IF('Raw Data'!$K$2="","",COUNTIFS($B:$B,X11,$A:$A,"&lt;="&amp;$BC$2,$I:$I,"W")+COUNTIFS($B:$B,X11,$A:$A,"&lt;="&amp;$BC$2,$K:$K,"W"))</f>
        <v>12</v>
      </c>
      <c r="BE11" s="79" cm="1">
        <f t="array" aca="1" ref="BE11" ca="1">IF('Raw Data'!$K$2="","",SUM(OFFSET($D$1,SMALL(IF($B$1:$B$170=X11,ROW($B$1:$B$170)-ROW($B$1)),ROW(INDIRECT("1:"&amp;$BC$2))),0,1)))</f>
        <v>1403.9799999999996</v>
      </c>
      <c r="BF11" s="80">
        <f ca="1">IF('Raw Data'!$L$2="","",_xlfn.RANK.EQ($BG11,$BG$3:$BG$14)+COUNTIFS($BG$3:$BG$14,$BG11,$BH$3:$BH$14,"&gt;"&amp;$BH11))</f>
        <v>5</v>
      </c>
      <c r="BG11" s="20">
        <f>IF('Raw Data'!$L$2="","",COUNTIFS($B:$B,X11,$A:$A,"&lt;="&amp;$BF$2,$I:$I,"W")+COUNTIFS($B:$B,X11,$A:$A,"&lt;="&amp;$BF$2,$K:$K,"W"))</f>
        <v>14</v>
      </c>
      <c r="BH11" s="79" cm="1">
        <f t="array" aca="1" ref="BH11" ca="1">IF('Raw Data'!$L$2="","",SUM(OFFSET($D$1,SMALL(IF($B$1:$B$170=X11,ROW($B$1:$B$170)-ROW($B$1)),ROW(INDIRECT("1:"&amp;$BF$2))),0,1)))</f>
        <v>1526.2899999999995</v>
      </c>
      <c r="BI11" s="80">
        <f ca="1">IF('Raw Data'!$M$2="","",_xlfn.RANK.EQ($BJ11,$BJ$3:$BJ$14)+COUNTIFS($BJ$3:$BJ$14,$BJ11,$BK$3:$BK$14,"&gt;"&amp;$BK11))</f>
        <v>6</v>
      </c>
      <c r="BJ11" s="20">
        <f>IF('Raw Data'!$M$2="","",COUNTIFS($B:$B,X11,$A:$A,"&lt;="&amp;$BI$2,$I:$I,"W")+COUNTIFS($B:$B,X11,$A:$A,"&lt;="&amp;$BI$2,$K:$K,"W"))</f>
        <v>14</v>
      </c>
      <c r="BK11" s="79" cm="1">
        <f t="array" aca="1" ref="BK11" ca="1">IF('Raw Data'!$M$2="","",SUM(OFFSET($D$1,SMALL(IF($B$1:$B$170=X11,ROW($B$1:$B$170)-ROW($B$1)),ROW(INDIRECT("1:"&amp;$BI$2))),0,1)))</f>
        <v>1640.2599999999995</v>
      </c>
      <c r="BL11" s="80">
        <f ca="1">IF('Raw Data'!$N$2="","",_xlfn.RANK.EQ($BM11,$BM$3:$BM$14)+COUNTIFS($BM$3:$BM$14,$BM11,$BN$3:$BN$14,"&gt;"&amp;$BN11))</f>
        <v>5</v>
      </c>
      <c r="BM11" s="20">
        <f>IF('Raw Data'!$N$2="","",COUNTIFS($B:$B,X11,$A:$A,"&lt;="&amp;$BL$2,$I:$I,"W")+COUNTIFS($B:$B,X11,$A:$A,"&lt;="&amp;$BL$2,$K:$K,"W"))</f>
        <v>14</v>
      </c>
      <c r="BN11" s="79" cm="1">
        <f t="array" aca="1" ref="BN11" ca="1">IF('Raw Data'!$N$2="","",SUM(OFFSET($D$1,SMALL(IF($B$1:$B$170=X11,ROW($B$1:$B$170)-ROW($B$1)),ROW(INDIRECT("1:"&amp;$BL$2))),0,1)))</f>
        <v>1729.3099999999995</v>
      </c>
    </row>
    <row r="12" spans="1:66" x14ac:dyDescent="0.2">
      <c r="A12" s="23">
        <v>1</v>
      </c>
      <c r="B12" s="24" t="str">
        <f>IF('Raw Data'!$A$44="","",'Raw Data'!$A$44)</f>
        <v>5 Dozen Eggs by Gaston</v>
      </c>
      <c r="C12" s="45" t="str">
        <f>IF(B12="","",_xlfn.XLOOKUP(B12,'Raw Data'!$P$3:$P$16,'Raw Data'!$Q$3:$Q$16,0,0,1))</f>
        <v>Steve</v>
      </c>
      <c r="D12" s="25">
        <f>IF('Raw Data'!$A$41="","",'Raw Data'!$A$41)</f>
        <v>125.82</v>
      </c>
      <c r="E12" s="18" t="s">
        <v>1</v>
      </c>
      <c r="F12" s="25">
        <f>IF('Raw Data'!$A$38="","",'Raw Data'!$A$38)</f>
        <v>82.97</v>
      </c>
      <c r="G12" s="45" t="str">
        <f>IF(H12="","",_xlfn.XLOOKUP(H12,'Raw Data'!$P$3:$P$16,'Raw Data'!$Q$3:$Q$16,0,0,1))</f>
        <v>Justin</v>
      </c>
      <c r="H12" s="27" t="str">
        <f>IF('Raw Data'!$A$35="","",'Raw Data'!$A$35)</f>
        <v>The Goob Troop</v>
      </c>
      <c r="I12" s="23" t="str">
        <f t="shared" si="1"/>
        <v>W</v>
      </c>
      <c r="J12" s="23">
        <f t="shared" si="2"/>
        <v>4</v>
      </c>
      <c r="K12" s="23" t="str">
        <f t="shared" si="3"/>
        <v>W</v>
      </c>
      <c r="L12" s="25">
        <f t="shared" si="4"/>
        <v>42.849999999999994</v>
      </c>
      <c r="N12" s="23">
        <f t="shared" si="5"/>
        <v>12</v>
      </c>
      <c r="O12" s="23">
        <f t="shared" si="0"/>
        <v>12</v>
      </c>
      <c r="P12" s="29">
        <f>IF(Q12="","",_xlfn.RANK.EQ($R12,$R$11:$R$14)+COUNTIFS($R$11:$R$14,$R12,$U$11:$U$14,"&gt;"&amp;$U12))</f>
        <v>4</v>
      </c>
      <c r="Q12" s="23" t="str">
        <f>IF('Raw Data'!P14="","",'Raw Data'!P14)</f>
        <v>Wrong Lever!</v>
      </c>
      <c r="R12" s="23">
        <f>IF(Q12="","",COUNTIFS(Calculations!$B$3:$B$170,$Q12,Calculations!$I$3:$I$170,"W")+COUNTIFS(Calculations!$B$3:$B$170,$Q12,Calculations!$K$3:$K$170,"W"))</f>
        <v>6</v>
      </c>
      <c r="S12" s="23">
        <f>IF(Q12="","",COUNTIFS(Calculations!$B$3:$B$170,$Q12,Calculations!$I$3:$I$170,"L")+COUNTIFS(Calculations!$B$3:$B$170,$Q12,Calculations!$K$3:$K$170,"L"))</f>
        <v>22</v>
      </c>
      <c r="T12" s="23">
        <f>IF(Q12="","",COUNTIFS(Calculations!$B$3:$B$170,$Q12,Calculations!$I$3:$I$170,"T"))</f>
        <v>0</v>
      </c>
      <c r="U12" s="25">
        <f>IF(Q12="","",SUMIF(Calculations!$B$3:$B$170,$Q12,Calculations!$D$3:$D$170))</f>
        <v>1525.99</v>
      </c>
      <c r="V12" s="25">
        <f>IF(Q12="","",SUMIF(Calculations!$B$3:$B$170,$Q12,Calculations!$F$3:$F$170))</f>
        <v>1734.7099999999998</v>
      </c>
      <c r="X12" s="78" t="str">
        <f t="shared" si="6"/>
        <v>Wrong Lever!</v>
      </c>
      <c r="Y12" s="20">
        <f ca="1">IF('Raw Data'!$A$2="","",_xlfn.RANK.EQ($Z12,$Z$3:$Z$14)+COUNTIFS($Z$3:$Z$14,$Z12,$AA$3:$AA$14,"&gt;"&amp;$AA12))</f>
        <v>11</v>
      </c>
      <c r="Z12" s="20">
        <f>IF('Raw Data'!$A$2="","",COUNTIFS($B:$B, X12, $A:$A, "&lt;=" &amp; $Y$2, $I:$I, "W") + COUNTIFS($B:$B, X12, $A:$A, "&lt;=" &amp; $Y$2, $K:$K, "W"))</f>
        <v>0</v>
      </c>
      <c r="AA12" s="79" cm="1">
        <f t="array" aca="1" ref="AA12" ca="1">IF('Raw Data'!$A$2="","",SUM(OFFSET($D$1, SMALL(IF($B$1:$B$170=X12, ROW($B$1:$B$170)-ROW($B$1)), ROW(INDIRECT("1:"&amp;$Y$2))), 0, 1)))</f>
        <v>88.71</v>
      </c>
      <c r="AB12" s="80">
        <f ca="1">IF('Raw Data'!$B$2="","",_xlfn.RANK.EQ($AC12,$AC$3:$AC$14)+COUNTIFS($AC$3:$AC$14,$AC12,$AD$3:$AD$14,"&gt;"&amp;$AD12))</f>
        <v>11</v>
      </c>
      <c r="AC12" s="20">
        <f>IF('Raw Data'!$B$2="","",COUNTIFS($B:$B,X12,$A:$A,"&lt;="&amp;$AB$2,$I:$I,"W")+COUNTIFS($B:$B,X12,$A:$A,"&lt;="&amp;$AB$2,$K:$K,"W"))</f>
        <v>1</v>
      </c>
      <c r="AD12" s="81" cm="1">
        <f t="array" aca="1" ref="AD12" ca="1">IF('Raw Data'!$B$2="","",SUM(OFFSET($D$1,SMALL(IF($B$1:$B$170=X12,ROW($B$1:$B$170)-ROW($B$1)),ROW(INDIRECT("1:"&amp;$AB$2))),0,1)))</f>
        <v>204.75</v>
      </c>
      <c r="AE12" s="80">
        <f ca="1">IF('Raw Data'!$C$2="","",_xlfn.RANK.EQ($AF12,$AF$3:$AF$14)+COUNTIFS($AF$3:$AF$14,$AF12,$AG$3:$AG$14,"&gt;"&amp;$AG12))</f>
        <v>11</v>
      </c>
      <c r="AF12" s="20">
        <f>IF('Raw Data'!$C$2="","",COUNTIFS($B:$B,X12,$A:$A,"&lt;="&amp;$AE$2,$I:$I,"W")+COUNTIFS($B:$B,X12,$A:$A,"&lt;="&amp;$AE$2,$K:$K,"W"))</f>
        <v>1</v>
      </c>
      <c r="AG12" s="81" cm="1">
        <f t="array" aca="1" ref="AG12" ca="1">IF('Raw Data'!$C$2="","",SUM(OFFSET($D$1,SMALL(IF($B$1:$B$170=X12,ROW($B$1:$B$170)-ROW($B$1)),ROW(INDIRECT("1:"&amp;$AE$2))),0,1)))</f>
        <v>313.22000000000003</v>
      </c>
      <c r="AH12" s="80">
        <f ca="1">IF('Raw Data'!$D$2="","",_xlfn.RANK.EQ($AI12,$AI$3:$AI$14)+COUNTIFS($AI$3:$AI$14,$AI12,$AJ$3:$AJ$14,"&gt;"&amp;$AJ12))</f>
        <v>10</v>
      </c>
      <c r="AI12" s="20">
        <f>IF('Raw Data'!$D$2="","",COUNTIFS($B:$B,X12,$A:$A,"&lt;="&amp;$AH$2,$I:$I,"W")+COUNTIFS($B:$B,X12,$A:$A,"&lt;="&amp;$AH$2,$K:$K,"W"))</f>
        <v>2</v>
      </c>
      <c r="AJ12" s="79" cm="1">
        <f t="array" aca="1" ref="AJ12" ca="1">IF('Raw Data'!$D$2="","",SUM(OFFSET($D$1,SMALL(IF($B$1:$B$170=X12,ROW($B$1:$B$170)-ROW($B$1)),ROW(INDIRECT("1:"&amp;$AH$2))),0,1)))</f>
        <v>419.75</v>
      </c>
      <c r="AK12" s="80">
        <f ca="1">IF('Raw Data'!$E$2="","",_xlfn.RANK.EQ($AL12,$AL$3:$AL$14)+COUNTIFS($AL$3:$AL$14,$AL12,$AM$3:$AM$14,"&gt;"&amp;$AM12))</f>
        <v>12</v>
      </c>
      <c r="AL12" s="20">
        <f>IF('Raw Data'!$E$2="","",COUNTIFS($B:$B,X12,$A:$A,"&lt;="&amp;$AK$2,$I:$I,"W")+COUNTIFS($B:$B,X12,$A:$A,"&lt;="&amp;$AK$2,$K:$K,"W"))</f>
        <v>2</v>
      </c>
      <c r="AM12" s="81" cm="1">
        <f t="array" aca="1" ref="AM12" ca="1">IF('Raw Data'!$E$2="","",SUM(OFFSET($D$1,SMALL(IF($B$1:$B$170=X12,ROW($B$1:$B$170)-ROW($B$1)),ROW(INDIRECT("1:"&amp;$AK$2))),0,1)))</f>
        <v>514.58000000000004</v>
      </c>
      <c r="AN12" s="80">
        <f ca="1">IF('Raw Data'!$F$2="","",_xlfn.RANK.EQ($AO12,$AO$3:$AO$14)+COUNTIFS($AO$3:$AO$14,$AO12,$AP$3:$AP$14,"&gt;"&amp;$AP12))</f>
        <v>12</v>
      </c>
      <c r="AO12" s="20">
        <f>IF('Raw Data'!$F$2="","",COUNTIFS($B:$B,X12,$A:$A,"&lt;="&amp;$AN$2,$I:$I,"W")+COUNTIFS($B:$B,X12,$A:$A,"&lt;="&amp;$AN$2,$K:$K,"W"))</f>
        <v>2</v>
      </c>
      <c r="AP12" s="81" cm="1">
        <f t="array" aca="1" ref="AP12" ca="1">IF('Raw Data'!$F$2="","",SUM(OFFSET($D$1,SMALL(IF($B$1:$B$170=X12,ROW($B$1:$B$170)-ROW($B$1)),ROW(INDIRECT("1:"&amp;$AN$2))),0,1)))</f>
        <v>607.67000000000007</v>
      </c>
      <c r="AQ12" s="80">
        <f ca="1">IF('Raw Data'!$G$2="","",_xlfn.RANK.EQ($AR12,$AR$3:$AR$14)+COUNTIFS($AR$3:$AR$14,$AR12,$AS$3:$AS$14,"&gt;"&amp;$AS12))</f>
        <v>12</v>
      </c>
      <c r="AR12" s="20">
        <f>IF('Raw Data'!$G$2="","",COUNTIFS($B:$B,X12,$A:$A,"&lt;="&amp;$AQ$2,$I:$I,"W")+COUNTIFS($B:$B,X12,$A:$A,"&lt;="&amp;$AQ$2,$K:$K,"W"))</f>
        <v>3</v>
      </c>
      <c r="AS12" s="79" cm="1">
        <f t="array" aca="1" ref="AS12" ca="1">IF('Raw Data'!$G$2="","",SUM(OFFSET($D$1,SMALL(IF($B$1:$B$170=X12,ROW($B$1:$B$170)-ROW($B$1)),ROW(INDIRECT("1:"&amp;$AQ$2))),0,1)))</f>
        <v>739.18000000000006</v>
      </c>
      <c r="AT12" s="80">
        <f ca="1">IF('Raw Data'!$H$2="","",_xlfn.RANK.EQ($AU12,$AU$3:$AU$14)+COUNTIFS($AU$3:$AU$14,$AU12,$AV$3:$AV$14,"&gt;"&amp;$AV12))</f>
        <v>12</v>
      </c>
      <c r="AU12" s="20">
        <f>IF('Raw Data'!$H$2="","",COUNTIFS($B:$B,X12,$A:$A,"&lt;="&amp;$AT$2,$I:$I,"W")+COUNTIFS($B:$B,X12,$A:$A,"&lt;="&amp;$AT$2,$K:$K,"W"))</f>
        <v>3</v>
      </c>
      <c r="AV12" s="79" cm="1">
        <f t="array" aca="1" ref="AV12" ca="1">IF('Raw Data'!$H$2="","",SUM(OFFSET($D$1,SMALL(IF($B$1:$B$170=X12,ROW($B$1:$B$170)-ROW($B$1)),ROW(INDIRECT("1:"&amp;$AT$2))),0,1)))</f>
        <v>839.34</v>
      </c>
      <c r="AW12" s="80">
        <f ca="1">IF('Raw Data'!$I$2="","",_xlfn.RANK.EQ($AX12,$AX$3:$AX$14)+COUNTIFS($AX$3:$AX$14,$AX12,$AY$3:$AY$14,"&gt;"&amp;$AY12))</f>
        <v>12</v>
      </c>
      <c r="AX12" s="20">
        <f>IF('Raw Data'!$I$2="","",COUNTIFS($B:$B,X12,$A:$A,"&lt;="&amp;$AW$2,$I:$I,"W")+COUNTIFS($B:$B,X12,$A:$A,"&lt;="&amp;$AW$2,$K:$K,"W"))</f>
        <v>4</v>
      </c>
      <c r="AY12" s="79" cm="1">
        <f t="array" aca="1" ref="AY12" ca="1">IF('Raw Data'!$I$2="","",SUM(OFFSET($D$1,SMALL(IF($B$1:$B$170=X12,ROW($B$1:$B$170)-ROW($B$1)),ROW(INDIRECT("1:"&amp;$AW$2))),0,1)))</f>
        <v>957.44</v>
      </c>
      <c r="AZ12" s="80">
        <f ca="1">IF('Raw Data'!$J$2="","",_xlfn.RANK.EQ($BA12,$BA$3:$BA$14)+COUNTIFS($BA$3:$BA$14,$BA12,$BB$3:$BB$14,"&gt;"&amp;$BB12))</f>
        <v>12</v>
      </c>
      <c r="BA12" s="20">
        <f>IF('Raw Data'!$J$2="","",COUNTIFS($B:$B,X12,$A:$A,"&lt;="&amp;$AZ$2,$I:$I,"W")+COUNTIFS($B:$B,X12,$A:$A,"&lt;="&amp;$AZ$2,$K:$K,"W"))</f>
        <v>5</v>
      </c>
      <c r="BB12" s="79" cm="1">
        <f t="array" aca="1" ref="BB12" ca="1">IF('Raw Data'!$J$2="","",SUM(OFFSET($D$1,SMALL(IF($B$1:$B$170=X12,ROW($B$1:$B$170)-ROW($B$1)),ROW(INDIRECT("1:"&amp;$AZ$2))),0,1)))</f>
        <v>1085.43</v>
      </c>
      <c r="BC12" s="80">
        <f ca="1">IF('Raw Data'!$K$2="","",_xlfn.RANK.EQ($BD12,$BD$3:$BD$14)+COUNTIFS($BD$3:$BD$14,$BD12,$BE$3:$BE$14,"&gt;"&amp;$BE12))</f>
        <v>12</v>
      </c>
      <c r="BD12" s="20">
        <f>IF('Raw Data'!$K$2="","",COUNTIFS($B:$B,X12,$A:$A,"&lt;="&amp;$BC$2,$I:$I,"W")+COUNTIFS($B:$B,X12,$A:$A,"&lt;="&amp;$BC$2,$K:$K,"W"))</f>
        <v>5</v>
      </c>
      <c r="BE12" s="79" cm="1">
        <f t="array" aca="1" ref="BE12" ca="1">IF('Raw Data'!$K$2="","",SUM(OFFSET($D$1,SMALL(IF($B$1:$B$170=X12,ROW($B$1:$B$170)-ROW($B$1)),ROW(INDIRECT("1:"&amp;$BC$2))),0,1)))</f>
        <v>1193.5</v>
      </c>
      <c r="BF12" s="80">
        <f ca="1">IF('Raw Data'!$L$2="","",_xlfn.RANK.EQ($BG12,$BG$3:$BG$14)+COUNTIFS($BG$3:$BG$14,$BG12,$BH$3:$BH$14,"&gt;"&amp;$BH12))</f>
        <v>12</v>
      </c>
      <c r="BG12" s="20">
        <f>IF('Raw Data'!$L$2="","",COUNTIFS($B:$B,X12,$A:$A,"&lt;="&amp;$BF$2,$I:$I,"W")+COUNTIFS($B:$B,X12,$A:$A,"&lt;="&amp;$BF$2,$K:$K,"W"))</f>
        <v>5</v>
      </c>
      <c r="BH12" s="79" cm="1">
        <f t="array" aca="1" ref="BH12" ca="1">IF('Raw Data'!$L$2="","",SUM(OFFSET($D$1,SMALL(IF($B$1:$B$170=X12,ROW($B$1:$B$170)-ROW($B$1)),ROW(INDIRECT("1:"&amp;$BF$2))),0,1)))</f>
        <v>1302.23</v>
      </c>
      <c r="BI12" s="80">
        <f ca="1">IF('Raw Data'!$M$2="","",_xlfn.RANK.EQ($BJ12,$BJ$3:$BJ$14)+COUNTIFS($BJ$3:$BJ$14,$BJ12,$BK$3:$BK$14,"&gt;"&amp;$BK12))</f>
        <v>12</v>
      </c>
      <c r="BJ12" s="20">
        <f>IF('Raw Data'!$M$2="","",COUNTIFS($B:$B,X12,$A:$A,"&lt;="&amp;$BI$2,$I:$I,"W")+COUNTIFS($B:$B,X12,$A:$A,"&lt;="&amp;$BI$2,$K:$K,"W"))</f>
        <v>6</v>
      </c>
      <c r="BK12" s="79" cm="1">
        <f t="array" aca="1" ref="BK12" ca="1">IF('Raw Data'!$M$2="","",SUM(OFFSET($D$1,SMALL(IF($B$1:$B$170=X12,ROW($B$1:$B$170)-ROW($B$1)),ROW(INDIRECT("1:"&amp;$BI$2))),0,1)))</f>
        <v>1425.33</v>
      </c>
      <c r="BL12" s="80">
        <f ca="1">IF('Raw Data'!$N$2="","",_xlfn.RANK.EQ($BM12,$BM$3:$BM$14)+COUNTIFS($BM$3:$BM$14,$BM12,$BN$3:$BN$14,"&gt;"&amp;$BN12))</f>
        <v>12</v>
      </c>
      <c r="BM12" s="20">
        <f>IF('Raw Data'!$N$2="","",COUNTIFS($B:$B,X12,$A:$A,"&lt;="&amp;$BL$2,$I:$I,"W")+COUNTIFS($B:$B,X12,$A:$A,"&lt;="&amp;$BL$2,$K:$K,"W"))</f>
        <v>6</v>
      </c>
      <c r="BN12" s="79" cm="1">
        <f t="array" aca="1" ref="BN12" ca="1">IF('Raw Data'!$N$2="","",SUM(OFFSET($D$1,SMALL(IF($B$1:$B$170=X12,ROW($B$1:$B$170)-ROW($B$1)),ROW(INDIRECT("1:"&amp;$BL$2))),0,1)))</f>
        <v>1525.99</v>
      </c>
    </row>
    <row r="13" spans="1:66" x14ac:dyDescent="0.2">
      <c r="A13" s="23">
        <v>1</v>
      </c>
      <c r="B13" s="24" t="str">
        <f>IF('Raw Data'!$A$55="","",'Raw Data'!$A$55)</f>
        <v>Herbie's Honkers</v>
      </c>
      <c r="C13" s="45" t="str">
        <f>IF(B13="","",_xlfn.XLOOKUP(B13,'Raw Data'!$P$3:$P$16,'Raw Data'!$Q$3:$Q$16,0,0,1))</f>
        <v>Dylan</v>
      </c>
      <c r="D13" s="25">
        <f>IF('Raw Data'!$A$52="","",'Raw Data'!$A$52)</f>
        <v>144.62</v>
      </c>
      <c r="E13" s="18" t="s">
        <v>1</v>
      </c>
      <c r="F13" s="25">
        <f>IF('Raw Data'!$A$49="","",'Raw Data'!$A$49)</f>
        <v>88.71</v>
      </c>
      <c r="G13" s="45" t="str">
        <f>IF(H13="","",_xlfn.XLOOKUP(H13,'Raw Data'!$P$3:$P$16,'Raw Data'!$Q$3:$Q$16,0,0,1))</f>
        <v>Tom</v>
      </c>
      <c r="H13" s="27" t="str">
        <f>IF('Raw Data'!$A$46="","",'Raw Data'!$A$46)</f>
        <v>Wrong Lever!</v>
      </c>
      <c r="I13" s="23" t="str">
        <f t="shared" si="1"/>
        <v>W</v>
      </c>
      <c r="J13" s="23">
        <f t="shared" si="2"/>
        <v>1</v>
      </c>
      <c r="K13" s="23" t="str">
        <f t="shared" si="3"/>
        <v>W</v>
      </c>
      <c r="L13" s="25">
        <f t="shared" si="4"/>
        <v>55.910000000000011</v>
      </c>
      <c r="N13" s="23">
        <f t="shared" si="5"/>
        <v>7</v>
      </c>
      <c r="O13" s="23">
        <f t="shared" si="0"/>
        <v>7</v>
      </c>
      <c r="P13" s="29">
        <f>IF(Q13="","",_xlfn.RANK.EQ($R13,$R$11:$R$14)+COUNTIFS($R$11:$R$14,$R13,$U$11:$U$14,"&gt;"&amp;$U13))</f>
        <v>3</v>
      </c>
      <c r="Q13" s="23" t="str">
        <f>IF('Raw Data'!P15="","",'Raw Data'!P15)</f>
        <v>5 Dozen Eggs by Gaston</v>
      </c>
      <c r="R13" s="23">
        <f>IF(Q13="","",COUNTIFS(Calculations!$B$3:$B$170,$Q13,Calculations!$I$3:$I$170,"W")+COUNTIFS(Calculations!$B$3:$B$170,$Q13,Calculations!$K$3:$K$170,"W"))</f>
        <v>13</v>
      </c>
      <c r="S13" s="23">
        <f>IF(Q13="","",COUNTIFS(Calculations!$B$3:$B$170,$Q13,Calculations!$I$3:$I$170,"L")+COUNTIFS(Calculations!$B$3:$B$170,$Q13,Calculations!$K$3:$K$170,"L"))</f>
        <v>15</v>
      </c>
      <c r="T13" s="23">
        <f>IF(Q13="","",COUNTIFS(Calculations!$B$3:$B$170,$Q13,Calculations!$I$3:$I$170,"T"))</f>
        <v>0</v>
      </c>
      <c r="U13" s="25">
        <f>IF(Q13="","",SUMIF(Calculations!$B$3:$B$170,$Q13,Calculations!$D$3:$D$170))</f>
        <v>1782.38</v>
      </c>
      <c r="V13" s="25">
        <f>IF(Q13="","",SUMIF(Calculations!$B$3:$B$170,$Q13,Calculations!$F$3:$F$170))</f>
        <v>1794.7099999999998</v>
      </c>
      <c r="X13" s="78" t="str">
        <f t="shared" si="6"/>
        <v>5 Dozen Eggs by Gaston</v>
      </c>
      <c r="Y13" s="20">
        <f ca="1">IF('Raw Data'!$A$2="","",_xlfn.RANK.EQ($Z13,$Z$3:$Z$14)+COUNTIFS($Z$3:$Z$14,$Z13,$AA$3:$AA$14,"&gt;"&amp;$AA13))</f>
        <v>4</v>
      </c>
      <c r="Z13" s="20">
        <f>IF('Raw Data'!$A$2="","",COUNTIFS($B:$B, X13, $A:$A, "&lt;=" &amp; $Y$2, $I:$I, "W") + COUNTIFS($B:$B, X13, $A:$A, "&lt;=" &amp; $Y$2, $K:$K, "W"))</f>
        <v>2</v>
      </c>
      <c r="AA13" s="79" cm="1">
        <f t="array" aca="1" ref="AA13" ca="1">IF('Raw Data'!$A$2="","",SUM(OFFSET($D$1, SMALL(IF($B$1:$B$170=X13, ROW($B$1:$B$170)-ROW($B$1)), ROW(INDIRECT("1:"&amp;$Y$2))), 0, 1)))</f>
        <v>125.82</v>
      </c>
      <c r="AB13" s="80">
        <f ca="1">IF('Raw Data'!$B$2="","",_xlfn.RANK.EQ($AC13,$AC$3:$AC$14)+COUNTIFS($AC$3:$AC$14,$AC13,$AD$3:$AD$14,"&gt;"&amp;$AD13))</f>
        <v>8</v>
      </c>
      <c r="AC13" s="20">
        <f>IF('Raw Data'!$B$2="","",COUNTIFS($B:$B,X13,$A:$A,"&lt;="&amp;$AB$2,$I:$I,"W")+COUNTIFS($B:$B,X13,$A:$A,"&lt;="&amp;$AB$2,$K:$K,"W"))</f>
        <v>2</v>
      </c>
      <c r="AD13" s="81" cm="1">
        <f t="array" aca="1" ref="AD13" ca="1">IF('Raw Data'!$B$2="","",SUM(OFFSET($D$1,SMALL(IF($B$1:$B$170=X13,ROW($B$1:$B$170)-ROW($B$1)),ROW(INDIRECT("1:"&amp;$AB$2))),0,1)))</f>
        <v>237.02999999999997</v>
      </c>
      <c r="AE13" s="80">
        <f ca="1">IF('Raw Data'!$C$2="","",_xlfn.RANK.EQ($AF13,$AF$3:$AF$14)+COUNTIFS($AF$3:$AF$14,$AF13,$AG$3:$AG$14,"&gt;"&amp;$AG13))</f>
        <v>6</v>
      </c>
      <c r="AF13" s="20">
        <f>IF('Raw Data'!$C$2="","",COUNTIFS($B:$B,X13,$A:$A,"&lt;="&amp;$AE$2,$I:$I,"W")+COUNTIFS($B:$B,X13,$A:$A,"&lt;="&amp;$AE$2,$K:$K,"W"))</f>
        <v>3</v>
      </c>
      <c r="AG13" s="81" cm="1">
        <f t="array" aca="1" ref="AG13" ca="1">IF('Raw Data'!$C$2="","",SUM(OFFSET($D$1,SMALL(IF($B$1:$B$170=X13,ROW($B$1:$B$170)-ROW($B$1)),ROW(INDIRECT("1:"&amp;$AE$2))),0,1)))</f>
        <v>374.19999999999993</v>
      </c>
      <c r="AH13" s="80">
        <f ca="1">IF('Raw Data'!$D$2="","",_xlfn.RANK.EQ($AI13,$AI$3:$AI$14)+COUNTIFS($AI$3:$AI$14,$AI13,$AJ$3:$AJ$14,"&gt;"&amp;$AJ13))</f>
        <v>9</v>
      </c>
      <c r="AI13" s="20">
        <f>IF('Raw Data'!$D$2="","",COUNTIFS($B:$B,X13,$A:$A,"&lt;="&amp;$AH$2,$I:$I,"W")+COUNTIFS($B:$B,X13,$A:$A,"&lt;="&amp;$AH$2,$K:$K,"W"))</f>
        <v>3</v>
      </c>
      <c r="AJ13" s="79" cm="1">
        <f t="array" aca="1" ref="AJ13" ca="1">IF('Raw Data'!$D$2="","",SUM(OFFSET($D$1,SMALL(IF($B$1:$B$170=X13,ROW($B$1:$B$170)-ROW($B$1)),ROW(INDIRECT("1:"&amp;$AH$2))),0,1)))</f>
        <v>503.64999999999992</v>
      </c>
      <c r="AK13" s="80">
        <f ca="1">IF('Raw Data'!$E$2="","",_xlfn.RANK.EQ($AL13,$AL$3:$AL$14)+COUNTIFS($AL$3:$AL$14,$AL13,$AM$3:$AM$14,"&gt;"&amp;$AM13))</f>
        <v>9</v>
      </c>
      <c r="AL13" s="20">
        <f>IF('Raw Data'!$E$2="","",COUNTIFS($B:$B,X13,$A:$A,"&lt;="&amp;$AK$2,$I:$I,"W")+COUNTIFS($B:$B,X13,$A:$A,"&lt;="&amp;$AK$2,$K:$K,"W"))</f>
        <v>3</v>
      </c>
      <c r="AM13" s="81" cm="1">
        <f t="array" aca="1" ref="AM13" ca="1">IF('Raw Data'!$E$2="","",SUM(OFFSET($D$1,SMALL(IF($B$1:$B$170=X13,ROW($B$1:$B$170)-ROW($B$1)),ROW(INDIRECT("1:"&amp;$AK$2))),0,1)))</f>
        <v>636.26</v>
      </c>
      <c r="AN13" s="80">
        <f ca="1">IF('Raw Data'!$F$2="","",_xlfn.RANK.EQ($AO13,$AO$3:$AO$14)+COUNTIFS($AO$3:$AO$14,$AO13,$AP$3:$AP$14,"&gt;"&amp;$AP13))</f>
        <v>8</v>
      </c>
      <c r="AO13" s="20">
        <f>IF('Raw Data'!$F$2="","",COUNTIFS($B:$B,X13,$A:$A,"&lt;="&amp;$AN$2,$I:$I,"W")+COUNTIFS($B:$B,X13,$A:$A,"&lt;="&amp;$AN$2,$K:$K,"W"))</f>
        <v>5</v>
      </c>
      <c r="AP13" s="81" cm="1">
        <f t="array" aca="1" ref="AP13" ca="1">IF('Raw Data'!$F$2="","",SUM(OFFSET($D$1,SMALL(IF($B$1:$B$170=X13,ROW($B$1:$B$170)-ROW($B$1)),ROW(INDIRECT("1:"&amp;$AN$2))),0,1)))</f>
        <v>788.37</v>
      </c>
      <c r="AQ13" s="80">
        <f ca="1">IF('Raw Data'!$G$2="","",_xlfn.RANK.EQ($AR13,$AR$3:$AR$14)+COUNTIFS($AR$3:$AR$14,$AR13,$AS$3:$AS$14,"&gt;"&amp;$AS13))</f>
        <v>8</v>
      </c>
      <c r="AR13" s="20">
        <f>IF('Raw Data'!$G$2="","",COUNTIFS($B:$B,X13,$A:$A,"&lt;="&amp;$AQ$2,$I:$I,"W")+COUNTIFS($B:$B,X13,$A:$A,"&lt;="&amp;$AQ$2,$K:$K,"W"))</f>
        <v>6</v>
      </c>
      <c r="AS13" s="79" cm="1">
        <f t="array" aca="1" ref="AS13" ca="1">IF('Raw Data'!$G$2="","",SUM(OFFSET($D$1,SMALL(IF($B$1:$B$170=X13,ROW($B$1:$B$170)-ROW($B$1)),ROW(INDIRECT("1:"&amp;$AQ$2))),0,1)))</f>
        <v>938.45</v>
      </c>
      <c r="AT13" s="80">
        <f ca="1">IF('Raw Data'!$H$2="","",_xlfn.RANK.EQ($AU13,$AU$3:$AU$14)+COUNTIFS($AU$3:$AU$14,$AU13,$AV$3:$AV$14,"&gt;"&amp;$AV13))</f>
        <v>6</v>
      </c>
      <c r="AU13" s="20">
        <f>IF('Raw Data'!$H$2="","",COUNTIFS($B:$B,X13,$A:$A,"&lt;="&amp;$AT$2,$I:$I,"W")+COUNTIFS($B:$B,X13,$A:$A,"&lt;="&amp;$AT$2,$K:$K,"W"))</f>
        <v>8</v>
      </c>
      <c r="AV13" s="79" cm="1">
        <f t="array" aca="1" ref="AV13" ca="1">IF('Raw Data'!$H$2="","",SUM(OFFSET($D$1,SMALL(IF($B$1:$B$170=X13,ROW($B$1:$B$170)-ROW($B$1)),ROW(INDIRECT("1:"&amp;$AT$2))),0,1)))</f>
        <v>1074.7</v>
      </c>
      <c r="AW13" s="80">
        <f ca="1">IF('Raw Data'!$I$2="","",_xlfn.RANK.EQ($AX13,$AX$3:$AX$14)+COUNTIFS($AX$3:$AX$14,$AX13,$AY$3:$AY$14,"&gt;"&amp;$AY13))</f>
        <v>7</v>
      </c>
      <c r="AX13" s="20">
        <f>IF('Raw Data'!$I$2="","",COUNTIFS($B:$B,X13,$A:$A,"&lt;="&amp;$AW$2,$I:$I,"W")+COUNTIFS($B:$B,X13,$A:$A,"&lt;="&amp;$AW$2,$K:$K,"W"))</f>
        <v>8</v>
      </c>
      <c r="AY13" s="79" cm="1">
        <f t="array" aca="1" ref="AY13" ca="1">IF('Raw Data'!$I$2="","",SUM(OFFSET($D$1,SMALL(IF($B$1:$B$170=X13,ROW($B$1:$B$170)-ROW($B$1)),ROW(INDIRECT("1:"&amp;$AW$2))),0,1)))</f>
        <v>1187.97</v>
      </c>
      <c r="AZ13" s="80">
        <f ca="1">IF('Raw Data'!$J$2="","",_xlfn.RANK.EQ($BA13,$BA$3:$BA$14)+COUNTIFS($BA$3:$BA$14,$BA13,$BB$3:$BB$14,"&gt;"&amp;$BB13))</f>
        <v>8</v>
      </c>
      <c r="BA13" s="20">
        <f>IF('Raw Data'!$J$2="","",COUNTIFS($B:$B,X13,$A:$A,"&lt;="&amp;$AZ$2,$I:$I,"W")+COUNTIFS($B:$B,X13,$A:$A,"&lt;="&amp;$AZ$2,$K:$K,"W"))</f>
        <v>8</v>
      </c>
      <c r="BB13" s="79" cm="1">
        <f t="array" aca="1" ref="BB13" ca="1">IF('Raw Data'!$J$2="","",SUM(OFFSET($D$1,SMALL(IF($B$1:$B$170=X13,ROW($B$1:$B$170)-ROW($B$1)),ROW(INDIRECT("1:"&amp;$AZ$2))),0,1)))</f>
        <v>1292.47</v>
      </c>
      <c r="BC13" s="80">
        <f ca="1">IF('Raw Data'!$K$2="","",_xlfn.RANK.EQ($BD13,$BD$3:$BD$14)+COUNTIFS($BD$3:$BD$14,$BD13,$BE$3:$BE$14,"&gt;"&amp;$BE13))</f>
        <v>7</v>
      </c>
      <c r="BD13" s="20">
        <f>IF('Raw Data'!$K$2="","",COUNTIFS($B:$B,X13,$A:$A,"&lt;="&amp;$BC$2,$I:$I,"W")+COUNTIFS($B:$B,X13,$A:$A,"&lt;="&amp;$BC$2,$K:$K,"W"))</f>
        <v>9</v>
      </c>
      <c r="BE13" s="79" cm="1">
        <f t="array" aca="1" ref="BE13" ca="1">IF('Raw Data'!$K$2="","",SUM(OFFSET($D$1,SMALL(IF($B$1:$B$170=X13,ROW($B$1:$B$170)-ROW($B$1)),ROW(INDIRECT("1:"&amp;$BC$2))),0,1)))</f>
        <v>1413.44</v>
      </c>
      <c r="BF13" s="80">
        <f ca="1">IF('Raw Data'!$L$2="","",_xlfn.RANK.EQ($BG13,$BG$3:$BG$14)+COUNTIFS($BG$3:$BG$14,$BG13,$BH$3:$BH$14,"&gt;"&amp;$BH13))</f>
        <v>7</v>
      </c>
      <c r="BG13" s="20">
        <f>IF('Raw Data'!$L$2="","",COUNTIFS($B:$B,X13,$A:$A,"&lt;="&amp;$BF$2,$I:$I,"W")+COUNTIFS($B:$B,X13,$A:$A,"&lt;="&amp;$BF$2,$K:$K,"W"))</f>
        <v>11</v>
      </c>
      <c r="BH13" s="79" cm="1">
        <f t="array" aca="1" ref="BH13" ca="1">IF('Raw Data'!$L$2="","",SUM(OFFSET($D$1,SMALL(IF($B$1:$B$170=X13,ROW($B$1:$B$170)-ROW($B$1)),ROW(INDIRECT("1:"&amp;$BF$2))),0,1)))</f>
        <v>1556.17</v>
      </c>
      <c r="BI13" s="80">
        <f ca="1">IF('Raw Data'!$M$2="","",_xlfn.RANK.EQ($BJ13,$BJ$3:$BJ$14)+COUNTIFS($BJ$3:$BJ$14,$BJ13,$BK$3:$BK$14,"&gt;"&amp;$BK13))</f>
        <v>8</v>
      </c>
      <c r="BJ13" s="20">
        <f>IF('Raw Data'!$M$2="","",COUNTIFS($B:$B,X13,$A:$A,"&lt;="&amp;$BI$2,$I:$I,"W")+COUNTIFS($B:$B,X13,$A:$A,"&lt;="&amp;$BI$2,$K:$K,"W"))</f>
        <v>11</v>
      </c>
      <c r="BK13" s="79" cm="1">
        <f t="array" aca="1" ref="BK13" ca="1">IF('Raw Data'!$M$2="","",SUM(OFFSET($D$1,SMALL(IF($B$1:$B$170=X13,ROW($B$1:$B$170)-ROW($B$1)),ROW(INDIRECT("1:"&amp;$BI$2))),0,1)))</f>
        <v>1654.6200000000001</v>
      </c>
      <c r="BL13" s="80">
        <f ca="1">IF('Raw Data'!$N$2="","",_xlfn.RANK.EQ($BM13,$BM$3:$BM$14)+COUNTIFS($BM$3:$BM$14,$BM13,$BN$3:$BN$14,"&gt;"&amp;$BN13))</f>
        <v>7</v>
      </c>
      <c r="BM13" s="20">
        <f>IF('Raw Data'!$N$2="","",COUNTIFS($B:$B,X13,$A:$A,"&lt;="&amp;$BL$2,$I:$I,"W")+COUNTIFS($B:$B,X13,$A:$A,"&lt;="&amp;$BL$2,$K:$K,"W"))</f>
        <v>13</v>
      </c>
      <c r="BN13" s="79" cm="1">
        <f t="array" aca="1" ref="BN13" ca="1">IF('Raw Data'!$N$2="","",SUM(OFFSET($D$1,SMALL(IF($B$1:$B$170=X13,ROW($B$1:$B$170)-ROW($B$1)),ROW(INDIRECT("1:"&amp;$BL$2))),0,1)))</f>
        <v>1782.38</v>
      </c>
    </row>
    <row r="14" spans="1:66" x14ac:dyDescent="0.2">
      <c r="A14" s="23">
        <v>1</v>
      </c>
      <c r="B14" s="24" t="str">
        <f>IF('Raw Data'!$A$66="","",'Raw Data'!$A$66)</f>
        <v>Aladdin Jazerra</v>
      </c>
      <c r="C14" s="45" t="str">
        <f>IF(B14="","",_xlfn.XLOOKUP(B14,'Raw Data'!$P$3:$P$16,'Raw Data'!$Q$3:$Q$16,0,0,1))</f>
        <v>Ian</v>
      </c>
      <c r="D14" s="25">
        <f>IF('Raw Data'!$A$63="","",'Raw Data'!$A$63)</f>
        <v>91.75</v>
      </c>
      <c r="E14" s="18" t="s">
        <v>1</v>
      </c>
      <c r="F14" s="25">
        <f>IF('Raw Data'!$A$60="","",'Raw Data'!$A$60)</f>
        <v>107.42</v>
      </c>
      <c r="G14" s="45" t="str">
        <f>IF(H14="","",_xlfn.XLOOKUP(H14,'Raw Data'!$P$3:$P$16,'Raw Data'!$Q$3:$Q$16,0,0,1))</f>
        <v>Nate</v>
      </c>
      <c r="H14" s="27" t="str">
        <f>IF('Raw Data'!$A$57="","",'Raw Data'!$A$57)</f>
        <v>Stupid Smartass Psycho</v>
      </c>
      <c r="I14" s="23" t="str">
        <f t="shared" si="1"/>
        <v>L</v>
      </c>
      <c r="J14" s="23">
        <f t="shared" si="2"/>
        <v>10</v>
      </c>
      <c r="K14" s="23" t="str">
        <f t="shared" si="3"/>
        <v>L</v>
      </c>
      <c r="L14" s="25">
        <f t="shared" si="4"/>
        <v>-15.670000000000002</v>
      </c>
      <c r="N14" s="23">
        <f t="shared" si="5"/>
        <v>4</v>
      </c>
      <c r="O14" s="23">
        <f t="shared" si="0"/>
        <v>4</v>
      </c>
      <c r="P14" s="29">
        <f>IF(Q14="","",_xlfn.RANK.EQ($R14,$R$11:$R$14)+COUNTIFS($R$11:$R$14,$R14,$U$11:$U$14,"&gt;"&amp;$U14))</f>
        <v>1</v>
      </c>
      <c r="Q14" s="23" t="str">
        <f>IF('Raw Data'!P16="","",'Raw Data'!P16)</f>
        <v>The Rescuers vs Medusa</v>
      </c>
      <c r="R14" s="23">
        <f>IF(Q14="","",COUNTIFS(Calculations!$B$3:$B$170,$Q14,Calculations!$I$3:$I$170,"W")+COUNTIFS(Calculations!$B$3:$B$170,$Q14,Calculations!$K$3:$K$170,"W"))</f>
        <v>17</v>
      </c>
      <c r="S14" s="23">
        <f>IF(Q14="","",COUNTIFS(Calculations!$B$3:$B$170,$Q14,Calculations!$I$3:$I$170,"L")+COUNTIFS(Calculations!$B$3:$B$170,$Q14,Calculations!$K$3:$K$170,"L"))</f>
        <v>11</v>
      </c>
      <c r="T14" s="23">
        <f>IF(Q14="","",COUNTIFS(Calculations!$B$3:$B$170,$Q14,Calculations!$I$3:$I$170,"T"))</f>
        <v>0</v>
      </c>
      <c r="U14" s="25">
        <f>IF(Q14="","",SUMIF(Calculations!$B$3:$B$170,$Q14,Calculations!$D$3:$D$170))</f>
        <v>1846.57</v>
      </c>
      <c r="V14" s="25">
        <f>IF(Q14="","",SUMIF(Calculations!$B$3:$B$170,$Q14,Calculations!$F$3:$F$170))</f>
        <v>1712.3500000000001</v>
      </c>
      <c r="X14" s="78" t="str">
        <f t="shared" si="6"/>
        <v>The Rescuers vs Medusa</v>
      </c>
      <c r="Y14" s="20">
        <f ca="1">IF('Raw Data'!$A$2="","",_xlfn.RANK.EQ($Z14,$Z$3:$Z$14)+COUNTIFS($Z$3:$Z$14,$Z14,$AA$3:$AA$14,"&gt;"&amp;$AA14))</f>
        <v>2</v>
      </c>
      <c r="Z14" s="20">
        <f>IF('Raw Data'!$A$2="","",COUNTIFS($B:$B, X14, $A:$A, "&lt;=" &amp; $Y$2, $I:$I, "W") + COUNTIFS($B:$B, X14, $A:$A, "&lt;=" &amp; $Y$2, $K:$K, "W"))</f>
        <v>2</v>
      </c>
      <c r="AA14" s="79" cm="1">
        <f t="array" aca="1" ref="AA14" ca="1">IF('Raw Data'!$A$2="","",SUM(OFFSET($D$1, SMALL(IF($B$1:$B$170=X14, ROW($B$1:$B$170)-ROW($B$1)), ROW(INDIRECT("1:"&amp;$Y$2))), 0, 1)))</f>
        <v>139.93</v>
      </c>
      <c r="AB14" s="80">
        <f ca="1">IF('Raw Data'!$B$2="","",_xlfn.RANK.EQ($AC14,$AC$3:$AC$14)+COUNTIFS($AC$3:$AC$14,$AC14,$AD$3:$AD$14,"&gt;"&amp;$AD14))</f>
        <v>1</v>
      </c>
      <c r="AC14" s="20">
        <f>IF('Raw Data'!$B$2="","",COUNTIFS($B:$B,X14,$A:$A,"&lt;="&amp;$AB$2,$I:$I,"W")+COUNTIFS($B:$B,X14,$A:$A,"&lt;="&amp;$AB$2,$K:$K,"W"))</f>
        <v>4</v>
      </c>
      <c r="AD14" s="81" cm="1">
        <f t="array" aca="1" ref="AD14" ca="1">IF('Raw Data'!$B$2="","",SUM(OFFSET($D$1,SMALL(IF($B$1:$B$170=X14,ROW($B$1:$B$170)-ROW($B$1)),ROW(INDIRECT("1:"&amp;$AB$2))),0,1)))</f>
        <v>284.3</v>
      </c>
      <c r="AE14" s="80">
        <f ca="1">IF('Raw Data'!$C$2="","",_xlfn.RANK.EQ($AF14,$AF$3:$AF$14)+COUNTIFS($AF$3:$AF$14,$AF14,$AG$3:$AG$14,"&gt;"&amp;$AG14))</f>
        <v>1</v>
      </c>
      <c r="AF14" s="20">
        <f>IF('Raw Data'!$C$2="","",COUNTIFS($B:$B,X14,$A:$A,"&lt;="&amp;$AE$2,$I:$I,"W")+COUNTIFS($B:$B,X14,$A:$A,"&lt;="&amp;$AE$2,$K:$K,"W"))</f>
        <v>6</v>
      </c>
      <c r="AG14" s="81" cm="1">
        <f t="array" aca="1" ref="AG14" ca="1">IF('Raw Data'!$C$2="","",SUM(OFFSET($D$1,SMALL(IF($B$1:$B$170=X14,ROW($B$1:$B$170)-ROW($B$1)),ROW(INDIRECT("1:"&amp;$AE$2))),0,1)))</f>
        <v>426.35</v>
      </c>
      <c r="AH14" s="80">
        <f ca="1">IF('Raw Data'!$D$2="","",_xlfn.RANK.EQ($AI14,$AI$3:$AI$14)+COUNTIFS($AI$3:$AI$14,$AI14,$AJ$3:$AJ$14,"&gt;"&amp;$AJ14))</f>
        <v>2</v>
      </c>
      <c r="AI14" s="20">
        <f>IF('Raw Data'!$D$2="","",COUNTIFS($B:$B,X14,$A:$A,"&lt;="&amp;$AH$2,$I:$I,"W")+COUNTIFS($B:$B,X14,$A:$A,"&lt;="&amp;$AH$2,$K:$K,"W"))</f>
        <v>6</v>
      </c>
      <c r="AJ14" s="79" cm="1">
        <f t="array" aca="1" ref="AJ14" ca="1">IF('Raw Data'!$D$2="","",SUM(OFFSET($D$1,SMALL(IF($B$1:$B$170=X14,ROW($B$1:$B$170)-ROW($B$1)),ROW(INDIRECT("1:"&amp;$AH$2))),0,1)))</f>
        <v>526.26</v>
      </c>
      <c r="AK14" s="80">
        <f ca="1">IF('Raw Data'!$E$2="","",_xlfn.RANK.EQ($AL14,$AL$3:$AL$14)+COUNTIFS($AL$3:$AL$14,$AL14,$AM$3:$AM$14,"&gt;"&amp;$AM14))</f>
        <v>4</v>
      </c>
      <c r="AL14" s="20">
        <f>IF('Raw Data'!$E$2="","",COUNTIFS($B:$B,X14,$A:$A,"&lt;="&amp;$AK$2,$I:$I,"W")+COUNTIFS($B:$B,X14,$A:$A,"&lt;="&amp;$AK$2,$K:$K,"W"))</f>
        <v>7</v>
      </c>
      <c r="AM14" s="81" cm="1">
        <f t="array" aca="1" ref="AM14" ca="1">IF('Raw Data'!$E$2="","",SUM(OFFSET($D$1,SMALL(IF($B$1:$B$170=X14,ROW($B$1:$B$170)-ROW($B$1)),ROW(INDIRECT("1:"&amp;$AK$2))),0,1)))</f>
        <v>673.51</v>
      </c>
      <c r="AN14" s="80">
        <f ca="1">IF('Raw Data'!$F$2="","",_xlfn.RANK.EQ($AO14,$AO$3:$AO$14)+COUNTIFS($AO$3:$AO$14,$AO14,$AP$3:$AP$14,"&gt;"&amp;$AP14))</f>
        <v>5</v>
      </c>
      <c r="AO14" s="20">
        <f>IF('Raw Data'!$F$2="","",COUNTIFS($B:$B,X14,$A:$A,"&lt;="&amp;$AN$2,$I:$I,"W")+COUNTIFS($B:$B,X14,$A:$A,"&lt;="&amp;$AN$2,$K:$K,"W"))</f>
        <v>7</v>
      </c>
      <c r="AP14" s="81" cm="1">
        <f t="array" aca="1" ref="AP14" ca="1">IF('Raw Data'!$F$2="","",SUM(OFFSET($D$1,SMALL(IF($B$1:$B$170=X14,ROW($B$1:$B$170)-ROW($B$1)),ROW(INDIRECT("1:"&amp;$AN$2))),0,1)))</f>
        <v>793.81999999999994</v>
      </c>
      <c r="AQ14" s="80">
        <f ca="1">IF('Raw Data'!$G$2="","",_xlfn.RANK.EQ($AR14,$AR$3:$AR$14)+COUNTIFS($AR$3:$AR$14,$AR14,$AS$3:$AS$14,"&gt;"&amp;$AS14))</f>
        <v>3</v>
      </c>
      <c r="AR14" s="20">
        <f>IF('Raw Data'!$G$2="","",COUNTIFS($B:$B,X14,$A:$A,"&lt;="&amp;$AQ$2,$I:$I,"W")+COUNTIFS($B:$B,X14,$A:$A,"&lt;="&amp;$AQ$2,$K:$K,"W"))</f>
        <v>9</v>
      </c>
      <c r="AS14" s="79" cm="1">
        <f t="array" aca="1" ref="AS14" ca="1">IF('Raw Data'!$G$2="","",SUM(OFFSET($D$1,SMALL(IF($B$1:$B$170=X14,ROW($B$1:$B$170)-ROW($B$1)),ROW(INDIRECT("1:"&amp;$AQ$2))),0,1)))</f>
        <v>962.26</v>
      </c>
      <c r="AT14" s="80">
        <f ca="1">IF('Raw Data'!$H$2="","",_xlfn.RANK.EQ($AU14,$AU$3:$AU$14)+COUNTIFS($AU$3:$AU$14,$AU14,$AV$3:$AV$14,"&gt;"&amp;$AV14))</f>
        <v>3</v>
      </c>
      <c r="AU14" s="20">
        <f>IF('Raw Data'!$H$2="","",COUNTIFS($B:$B,X14,$A:$A,"&lt;="&amp;$AT$2,$I:$I,"W")+COUNTIFS($B:$B,X14,$A:$A,"&lt;="&amp;$AT$2,$K:$K,"W"))</f>
        <v>11</v>
      </c>
      <c r="AV14" s="79" cm="1">
        <f t="array" aca="1" ref="AV14" ca="1">IF('Raw Data'!$H$2="","",SUM(OFFSET($D$1,SMALL(IF($B$1:$B$170=X14,ROW($B$1:$B$170)-ROW($B$1)),ROW(INDIRECT("1:"&amp;$AT$2))),0,1)))</f>
        <v>1085.1600000000001</v>
      </c>
      <c r="AW14" s="80">
        <f ca="1">IF('Raw Data'!$I$2="","",_xlfn.RANK.EQ($AX14,$AX$3:$AX$14)+COUNTIFS($AX$3:$AX$14,$AX14,$AY$3:$AY$14,"&gt;"&amp;$AY14))</f>
        <v>3</v>
      </c>
      <c r="AX14" s="20">
        <f>IF('Raw Data'!$I$2="","",COUNTIFS($B:$B,X14,$A:$A,"&lt;="&amp;$AW$2,$I:$I,"W")+COUNTIFS($B:$B,X14,$A:$A,"&lt;="&amp;$AW$2,$K:$K,"W"))</f>
        <v>11</v>
      </c>
      <c r="AY14" s="79" cm="1">
        <f t="array" aca="1" ref="AY14" ca="1">IF('Raw Data'!$I$2="","",SUM(OFFSET($D$1,SMALL(IF($B$1:$B$170=X14,ROW($B$1:$B$170)-ROW($B$1)),ROW(INDIRECT("1:"&amp;$AW$2))),0,1)))</f>
        <v>1206.6200000000001</v>
      </c>
      <c r="AZ14" s="80">
        <f ca="1">IF('Raw Data'!$J$2="","",_xlfn.RANK.EQ($BA14,$BA$3:$BA$14)+COUNTIFS($BA$3:$BA$14,$BA14,$BB$3:$BB$14,"&gt;"&amp;$BB14))</f>
        <v>4</v>
      </c>
      <c r="BA14" s="20">
        <f>IF('Raw Data'!$J$2="","",COUNTIFS($B:$B,X14,$A:$A,"&lt;="&amp;$AZ$2,$I:$I,"W")+COUNTIFS($B:$B,X14,$A:$A,"&lt;="&amp;$AZ$2,$K:$K,"W"))</f>
        <v>12</v>
      </c>
      <c r="BB14" s="79" cm="1">
        <f t="array" aca="1" ref="BB14" ca="1">IF('Raw Data'!$J$2="","",SUM(OFFSET($D$1,SMALL(IF($B$1:$B$170=X14,ROW($B$1:$B$170)-ROW($B$1)),ROW(INDIRECT("1:"&amp;$AZ$2))),0,1)))</f>
        <v>1332.2900000000002</v>
      </c>
      <c r="BC14" s="80">
        <f ca="1">IF('Raw Data'!$K$2="","",_xlfn.RANK.EQ($BD14,$BD$3:$BD$14)+COUNTIFS($BD$3:$BD$14,$BD14,$BE$3:$BE$14,"&gt;"&amp;$BE14))</f>
        <v>5</v>
      </c>
      <c r="BD14" s="20">
        <f>IF('Raw Data'!$K$2="","",COUNTIFS($B:$B,X14,$A:$A,"&lt;="&amp;$BC$2,$I:$I,"W")+COUNTIFS($B:$B,X14,$A:$A,"&lt;="&amp;$BC$2,$K:$K,"W"))</f>
        <v>12</v>
      </c>
      <c r="BE14" s="79" cm="1">
        <f t="array" aca="1" ref="BE14" ca="1">IF('Raw Data'!$K$2="","",SUM(OFFSET($D$1,SMALL(IF($B$1:$B$170=X14,ROW($B$1:$B$170)-ROW($B$1)),ROW(INDIRECT("1:"&amp;$BC$2))),0,1)))</f>
        <v>1413.8400000000001</v>
      </c>
      <c r="BF14" s="80">
        <f ca="1">IF('Raw Data'!$L$2="","",_xlfn.RANK.EQ($BG14,$BG$3:$BG$14)+COUNTIFS($BG$3:$BG$14,$BG14,$BH$3:$BH$14,"&gt;"&amp;$BH14))</f>
        <v>6</v>
      </c>
      <c r="BG14" s="20">
        <f>IF('Raw Data'!$L$2="","",COUNTIFS($B:$B,X14,$A:$A,"&lt;="&amp;$BF$2,$I:$I,"W")+COUNTIFS($B:$B,X14,$A:$A,"&lt;="&amp;$BF$2,$K:$K,"W"))</f>
        <v>13</v>
      </c>
      <c r="BH14" s="79" cm="1">
        <f t="array" aca="1" ref="BH14" ca="1">IF('Raw Data'!$L$2="","",SUM(OFFSET($D$1,SMALL(IF($B$1:$B$170=X14,ROW($B$1:$B$170)-ROW($B$1)),ROW(INDIRECT("1:"&amp;$BF$2))),0,1)))</f>
        <v>1552.23</v>
      </c>
      <c r="BI14" s="80">
        <f ca="1">IF('Raw Data'!$M$2="","",_xlfn.RANK.EQ($BJ14,$BJ$3:$BJ$14)+COUNTIFS($BJ$3:$BJ$14,$BJ14,$BK$3:$BK$14,"&gt;"&amp;$BK14))</f>
        <v>4</v>
      </c>
      <c r="BJ14" s="20">
        <f>IF('Raw Data'!$M$2="","",COUNTIFS($B:$B,X14,$A:$A,"&lt;="&amp;$BI$2,$I:$I,"W")+COUNTIFS($B:$B,X14,$A:$A,"&lt;="&amp;$BI$2,$K:$K,"W"))</f>
        <v>15</v>
      </c>
      <c r="BK14" s="79" cm="1">
        <f t="array" aca="1" ref="BK14" ca="1">IF('Raw Data'!$M$2="","",SUM(OFFSET($D$1,SMALL(IF($B$1:$B$170=X14,ROW($B$1:$B$170)-ROW($B$1)),ROW(INDIRECT("1:"&amp;$BI$2))),0,1)))</f>
        <v>1686.37</v>
      </c>
      <c r="BL14" s="80">
        <f ca="1">IF('Raw Data'!$N$2="","",_xlfn.RANK.EQ($BM14,$BM$3:$BM$14)+COUNTIFS($BM$3:$BM$14,$BM14,$BN$3:$BN$14,"&gt;"&amp;$BN14))</f>
        <v>4</v>
      </c>
      <c r="BM14" s="20">
        <f>IF('Raw Data'!$N$2="","",COUNTIFS($B:$B,X14,$A:$A,"&lt;="&amp;$BL$2,$I:$I,"W")+COUNTIFS($B:$B,X14,$A:$A,"&lt;="&amp;$BL$2,$K:$K,"W"))</f>
        <v>17</v>
      </c>
      <c r="BN14" s="79" cm="1">
        <f t="array" aca="1" ref="BN14" ca="1">IF('Raw Data'!$N$2="","",SUM(OFFSET($D$1,SMALL(IF($B$1:$B$170=X14,ROW($B$1:$B$170)-ROW($B$1)),ROW(INDIRECT("1:"&amp;$BL$2))),0,1)))</f>
        <v>1846.57</v>
      </c>
    </row>
    <row r="15" spans="1:66" x14ac:dyDescent="0.2">
      <c r="A15" s="23">
        <v>2</v>
      </c>
      <c r="B15" s="24" t="str">
        <f>IF('Raw Data'!$B$2="","",'Raw Data'!$B$2)</f>
        <v>SqueakSqueakinSqueakSqueakity</v>
      </c>
      <c r="C15" s="45" t="str">
        <f>IF(B15="","",_xlfn.XLOOKUP(B15,'Raw Data'!$P$3:$P$16,'Raw Data'!$Q$3:$Q$16,0,0,1))</f>
        <v>Dave</v>
      </c>
      <c r="D15" s="25">
        <f>IF('Raw Data'!$B$5="","",'Raw Data'!$B$5)</f>
        <v>117.99</v>
      </c>
      <c r="E15" s="18" t="s">
        <v>1</v>
      </c>
      <c r="F15" s="25">
        <f>IF('Raw Data'!$B$8="","",'Raw Data'!$B$8)</f>
        <v>138.27000000000001</v>
      </c>
      <c r="G15" s="45" t="str">
        <f>IF(H15="","",_xlfn.XLOOKUP(H15,'Raw Data'!$P$3:$P$16,'Raw Data'!$Q$3:$Q$16,0,0,1))</f>
        <v>Rico</v>
      </c>
      <c r="H15" s="26" t="str">
        <f>IF('Raw Data'!$B$11="","",'Raw Data'!$B$11)</f>
        <v>We're all mad here</v>
      </c>
      <c r="I15" s="23" t="str">
        <f t="shared" si="1"/>
        <v>L</v>
      </c>
      <c r="J15" s="23">
        <f t="shared" si="2"/>
        <v>7</v>
      </c>
      <c r="K15" s="23" t="str">
        <f t="shared" si="3"/>
        <v>L</v>
      </c>
      <c r="L15" s="25">
        <f t="shared" si="4"/>
        <v>-20.280000000000015</v>
      </c>
    </row>
    <row r="16" spans="1:66" x14ac:dyDescent="0.2">
      <c r="A16" s="23">
        <v>2</v>
      </c>
      <c r="B16" s="24" t="str">
        <f>IF('Raw Data'!$B$13="","",'Raw Data'!$B$13)</f>
        <v>Prince Abooboo</v>
      </c>
      <c r="C16" s="45" t="str">
        <f>IF(B16="","",_xlfn.XLOOKUP(B16,'Raw Data'!$P$3:$P$16,'Raw Data'!$Q$3:$Q$16,0,0,1))</f>
        <v>Stefan</v>
      </c>
      <c r="D16" s="25">
        <f>IF('Raw Data'!$B$16="","",'Raw Data'!$B$16)</f>
        <v>113.2</v>
      </c>
      <c r="E16" s="18" t="s">
        <v>1</v>
      </c>
      <c r="F16" s="25">
        <f>IF('Raw Data'!$B$19="","",'Raw Data'!$B$19)</f>
        <v>144.37</v>
      </c>
      <c r="G16" s="45" t="str">
        <f>IF(H16="","",_xlfn.XLOOKUP(H16,'Raw Data'!$P$3:$P$16,'Raw Data'!$Q$3:$Q$16,0,0,1))</f>
        <v>Eddie</v>
      </c>
      <c r="H16" s="26" t="str">
        <f>IF('Raw Data'!$B$22="","",'Raw Data'!$B$22)</f>
        <v>The Rescuers vs Medusa</v>
      </c>
      <c r="I16" s="23" t="str">
        <f t="shared" si="1"/>
        <v>L</v>
      </c>
      <c r="J16" s="23">
        <f t="shared" si="2"/>
        <v>10</v>
      </c>
      <c r="K16" s="23" t="str">
        <f t="shared" si="3"/>
        <v>L</v>
      </c>
      <c r="L16" s="25">
        <f t="shared" si="4"/>
        <v>-31.17</v>
      </c>
    </row>
    <row r="17" spans="1:12" x14ac:dyDescent="0.2">
      <c r="A17" s="23">
        <v>2</v>
      </c>
      <c r="B17" s="24" t="str">
        <f>IF('Raw Data'!$B$24="","",'Raw Data'!$B$24)</f>
        <v>Jafar</v>
      </c>
      <c r="C17" s="45" t="str">
        <f>IF(B17="","",_xlfn.XLOOKUP(B17,'Raw Data'!$P$3:$P$16,'Raw Data'!$Q$3:$Q$16,0,0,1))</f>
        <v>Beau</v>
      </c>
      <c r="D17" s="25">
        <f>IF('Raw Data'!$B$27="","",'Raw Data'!$B$27)</f>
        <v>169.96</v>
      </c>
      <c r="E17" s="18" t="s">
        <v>1</v>
      </c>
      <c r="F17" s="25">
        <f>IF('Raw Data'!$B$30="","",'Raw Data'!$B$30)</f>
        <v>138.4</v>
      </c>
      <c r="G17" s="45" t="str">
        <f>IF(H17="","",_xlfn.XLOOKUP(H17,'Raw Data'!$P$3:$P$16,'Raw Data'!$Q$3:$Q$16,0,0,1))</f>
        <v>Nate</v>
      </c>
      <c r="H17" s="26" t="str">
        <f>IF('Raw Data'!$B$33="","",'Raw Data'!$B$33)</f>
        <v>Stupid Smartass Psycho</v>
      </c>
      <c r="I17" s="23" t="str">
        <f t="shared" si="1"/>
        <v>W</v>
      </c>
      <c r="J17" s="23">
        <f t="shared" si="2"/>
        <v>1</v>
      </c>
      <c r="K17" s="23" t="str">
        <f t="shared" si="3"/>
        <v>W</v>
      </c>
      <c r="L17" s="25">
        <f t="shared" si="4"/>
        <v>31.560000000000002</v>
      </c>
    </row>
    <row r="18" spans="1:12" x14ac:dyDescent="0.2">
      <c r="A18" s="23">
        <v>2</v>
      </c>
      <c r="B18" s="24" t="str">
        <f>IF('Raw Data'!$B$35="","",'Raw Data'!$B$35)</f>
        <v>The Goob Troop</v>
      </c>
      <c r="C18" s="45" t="str">
        <f>IF(B18="","",_xlfn.XLOOKUP(B18,'Raw Data'!$P$3:$P$16,'Raw Data'!$Q$3:$Q$16,0,0,1))</f>
        <v>Justin</v>
      </c>
      <c r="D18" s="25">
        <f>IF('Raw Data'!$B$38="","",'Raw Data'!$B$38)</f>
        <v>119.32</v>
      </c>
      <c r="E18" s="18" t="s">
        <v>1</v>
      </c>
      <c r="F18" s="25">
        <f>IF('Raw Data'!$B$41="","",'Raw Data'!$B$41)</f>
        <v>114.81</v>
      </c>
      <c r="G18" s="45" t="str">
        <f>IF(H18="","",_xlfn.XLOOKUP(H18,'Raw Data'!$P$3:$P$16,'Raw Data'!$Q$3:$Q$16,0,0,1))</f>
        <v>Dylan</v>
      </c>
      <c r="H18" s="26" t="str">
        <f>IF('Raw Data'!$B$44="","",'Raw Data'!$B$44)</f>
        <v>Herbie's Honkers</v>
      </c>
      <c r="I18" s="23" t="str">
        <f t="shared" si="1"/>
        <v>W</v>
      </c>
      <c r="J18" s="23">
        <f t="shared" si="2"/>
        <v>6</v>
      </c>
      <c r="K18" s="23" t="str">
        <f t="shared" si="3"/>
        <v>W</v>
      </c>
      <c r="L18" s="25">
        <f t="shared" si="4"/>
        <v>4.5099999999999909</v>
      </c>
    </row>
    <row r="19" spans="1:12" x14ac:dyDescent="0.2">
      <c r="A19" s="23">
        <v>2</v>
      </c>
      <c r="B19" s="24" t="str">
        <f>IF('Raw Data'!$B$46="","",'Raw Data'!$B$46)</f>
        <v>Wrong Lever!</v>
      </c>
      <c r="C19" s="45" t="str">
        <f>IF(B19="","",_xlfn.XLOOKUP(B19,'Raw Data'!$P$3:$P$16,'Raw Data'!$Q$3:$Q$16,0,0,1))</f>
        <v>Tom</v>
      </c>
      <c r="D19" s="25">
        <f>IF('Raw Data'!$B$49="","",'Raw Data'!$B$49)</f>
        <v>116.04</v>
      </c>
      <c r="E19" s="18" t="s">
        <v>1</v>
      </c>
      <c r="F19" s="25">
        <f>IF('Raw Data'!$B$52="","",'Raw Data'!$B$52)</f>
        <v>111.21</v>
      </c>
      <c r="G19" s="45" t="str">
        <f>IF(H19="","",_xlfn.XLOOKUP(H19,'Raw Data'!$P$3:$P$16,'Raw Data'!$Q$3:$Q$16,0,0,1))</f>
        <v>Steve</v>
      </c>
      <c r="H19" s="26" t="str">
        <f>IF('Raw Data'!$B$55="","",'Raw Data'!$B$55)</f>
        <v>5 Dozen Eggs by Gaston</v>
      </c>
      <c r="I19" s="23" t="str">
        <f t="shared" si="1"/>
        <v>W</v>
      </c>
      <c r="J19" s="23">
        <f t="shared" si="2"/>
        <v>8</v>
      </c>
      <c r="K19" s="23" t="str">
        <f t="shared" si="3"/>
        <v>L</v>
      </c>
      <c r="L19" s="25">
        <f t="shared" si="4"/>
        <v>4.8300000000000125</v>
      </c>
    </row>
    <row r="20" spans="1:12" x14ac:dyDescent="0.2">
      <c r="A20" s="23">
        <v>2</v>
      </c>
      <c r="B20" s="24" t="str">
        <f>IF('Raw Data'!$B$57="","",'Raw Data'!$B$57)</f>
        <v>Tick Tock the Crocodile</v>
      </c>
      <c r="C20" s="45" t="str">
        <f>IF(B20="","",_xlfn.XLOOKUP(B20,'Raw Data'!$P$3:$P$16,'Raw Data'!$Q$3:$Q$16,0,0,1))</f>
        <v>Jared</v>
      </c>
      <c r="D20" s="25">
        <f>IF('Raw Data'!$B$60="","",'Raw Data'!$B$60)</f>
        <v>127.63</v>
      </c>
      <c r="E20" s="18" t="s">
        <v>1</v>
      </c>
      <c r="F20" s="25">
        <f>IF('Raw Data'!$B$63="","",'Raw Data'!$B$63)</f>
        <v>100.77</v>
      </c>
      <c r="G20" s="45" t="str">
        <f>IF(H20="","",_xlfn.XLOOKUP(H20,'Raw Data'!$P$3:$P$16,'Raw Data'!$Q$3:$Q$16,0,0,1))</f>
        <v>Ian</v>
      </c>
      <c r="H20" s="26" t="str">
        <f>IF('Raw Data'!$B$66="","",'Raw Data'!$B$66)</f>
        <v>Aladdin Jazerra</v>
      </c>
      <c r="I20" s="23" t="str">
        <f t="shared" si="1"/>
        <v>W</v>
      </c>
      <c r="J20" s="23">
        <f t="shared" si="2"/>
        <v>5</v>
      </c>
      <c r="K20" s="23" t="str">
        <f t="shared" si="3"/>
        <v>W</v>
      </c>
      <c r="L20" s="25">
        <f t="shared" si="4"/>
        <v>26.86</v>
      </c>
    </row>
    <row r="21" spans="1:12" x14ac:dyDescent="0.2">
      <c r="A21" s="23">
        <v>2</v>
      </c>
      <c r="B21" s="24" t="str">
        <f>IF('Raw Data'!$B$11="","",'Raw Data'!$B$11)</f>
        <v>We're all mad here</v>
      </c>
      <c r="C21" s="45" t="str">
        <f>IF(B21="","",_xlfn.XLOOKUP(B21,'Raw Data'!$P$3:$P$16,'Raw Data'!$Q$3:$Q$16,0,0,1))</f>
        <v>Rico</v>
      </c>
      <c r="D21" s="25">
        <f>IF('Raw Data'!$B$8="","",'Raw Data'!$B$8)</f>
        <v>138.27000000000001</v>
      </c>
      <c r="E21" s="18" t="s">
        <v>1</v>
      </c>
      <c r="F21" s="25">
        <f>IF('Raw Data'!$B$5="","",'Raw Data'!$B$5)</f>
        <v>117.99</v>
      </c>
      <c r="G21" s="45" t="str">
        <f>IF(H21="","",_xlfn.XLOOKUP(H21,'Raw Data'!$P$3:$P$16,'Raw Data'!$Q$3:$Q$16,0,0,1))</f>
        <v>Dave</v>
      </c>
      <c r="H21" s="27" t="str">
        <f>IF('Raw Data'!$B$2="","",'Raw Data'!$B$2)</f>
        <v>SqueakSqueakinSqueakSqueakity</v>
      </c>
      <c r="I21" s="23" t="str">
        <f t="shared" si="1"/>
        <v>W</v>
      </c>
      <c r="J21" s="23">
        <f t="shared" si="2"/>
        <v>4</v>
      </c>
      <c r="K21" s="23" t="str">
        <f t="shared" si="3"/>
        <v>W</v>
      </c>
      <c r="L21" s="25">
        <f t="shared" si="4"/>
        <v>20.280000000000015</v>
      </c>
    </row>
    <row r="22" spans="1:12" x14ac:dyDescent="0.2">
      <c r="A22" s="23">
        <v>2</v>
      </c>
      <c r="B22" s="24" t="str">
        <f>IF('Raw Data'!$B$22="","",'Raw Data'!$B$22)</f>
        <v>The Rescuers vs Medusa</v>
      </c>
      <c r="C22" s="45" t="str">
        <f>IF(B22="","",_xlfn.XLOOKUP(B22,'Raw Data'!$P$3:$P$16,'Raw Data'!$Q$3:$Q$16,0,0,1))</f>
        <v>Eddie</v>
      </c>
      <c r="D22" s="25">
        <f>IF('Raw Data'!$B$19="","",'Raw Data'!$B$19)</f>
        <v>144.37</v>
      </c>
      <c r="E22" s="18" t="s">
        <v>1</v>
      </c>
      <c r="F22" s="25">
        <f>IF('Raw Data'!$B$16="","",'Raw Data'!$B$16)</f>
        <v>113.2</v>
      </c>
      <c r="G22" s="45" t="str">
        <f>IF(H22="","",_xlfn.XLOOKUP(H22,'Raw Data'!$P$3:$P$16,'Raw Data'!$Q$3:$Q$16,0,0,1))</f>
        <v>Stefan</v>
      </c>
      <c r="H22" s="27" t="str">
        <f>IF('Raw Data'!$B$13="","",'Raw Data'!$B$13)</f>
        <v>Prince Abooboo</v>
      </c>
      <c r="I22" s="23" t="str">
        <f t="shared" si="1"/>
        <v>W</v>
      </c>
      <c r="J22" s="23">
        <f t="shared" si="2"/>
        <v>2</v>
      </c>
      <c r="K22" s="23" t="str">
        <f t="shared" si="3"/>
        <v>W</v>
      </c>
      <c r="L22" s="25">
        <f t="shared" si="4"/>
        <v>31.17</v>
      </c>
    </row>
    <row r="23" spans="1:12" x14ac:dyDescent="0.2">
      <c r="A23" s="23">
        <v>2</v>
      </c>
      <c r="B23" s="24" t="str">
        <f>IF('Raw Data'!$B$33="","",'Raw Data'!$B$33)</f>
        <v>Stupid Smartass Psycho</v>
      </c>
      <c r="C23" s="45" t="str">
        <f>IF(B23="","",_xlfn.XLOOKUP(B23,'Raw Data'!$P$3:$P$16,'Raw Data'!$Q$3:$Q$16,0,0,1))</f>
        <v>Nate</v>
      </c>
      <c r="D23" s="25">
        <f>IF('Raw Data'!$B$30="","",'Raw Data'!$B$30)</f>
        <v>138.4</v>
      </c>
      <c r="E23" s="18" t="s">
        <v>1</v>
      </c>
      <c r="F23" s="25">
        <f>IF('Raw Data'!$B$27="","",'Raw Data'!$B$27)</f>
        <v>169.96</v>
      </c>
      <c r="G23" s="45" t="str">
        <f>IF(H23="","",_xlfn.XLOOKUP(H23,'Raw Data'!$P$3:$P$16,'Raw Data'!$Q$3:$Q$16,0,0,1))</f>
        <v>Beau</v>
      </c>
      <c r="H23" s="27" t="str">
        <f>IF('Raw Data'!$B$24="","",'Raw Data'!$B$24)</f>
        <v>Jafar</v>
      </c>
      <c r="I23" s="23" t="str">
        <f t="shared" si="1"/>
        <v>L</v>
      </c>
      <c r="J23" s="23">
        <f t="shared" si="2"/>
        <v>3</v>
      </c>
      <c r="K23" s="23" t="str">
        <f t="shared" si="3"/>
        <v>W</v>
      </c>
      <c r="L23" s="25">
        <f t="shared" si="4"/>
        <v>-31.560000000000002</v>
      </c>
    </row>
    <row r="24" spans="1:12" x14ac:dyDescent="0.2">
      <c r="A24" s="23">
        <v>2</v>
      </c>
      <c r="B24" s="24" t="str">
        <f>IF('Raw Data'!$B$44="","",'Raw Data'!$B$44)</f>
        <v>Herbie's Honkers</v>
      </c>
      <c r="C24" s="45" t="str">
        <f>IF(B24="","",_xlfn.XLOOKUP(B24,'Raw Data'!$P$3:$P$16,'Raw Data'!$Q$3:$Q$16,0,0,1))</f>
        <v>Dylan</v>
      </c>
      <c r="D24" s="25">
        <f>IF('Raw Data'!$B$41="","",'Raw Data'!$B$41)</f>
        <v>114.81</v>
      </c>
      <c r="E24" s="18" t="s">
        <v>1</v>
      </c>
      <c r="F24" s="25">
        <f>IF('Raw Data'!$B$38="","",'Raw Data'!$B$38)</f>
        <v>119.32</v>
      </c>
      <c r="G24" s="45" t="str">
        <f>IF(H24="","",_xlfn.XLOOKUP(H24,'Raw Data'!$P$3:$P$16,'Raw Data'!$Q$3:$Q$16,0,0,1))</f>
        <v>Justin</v>
      </c>
      <c r="H24" s="27" t="str">
        <f>IF('Raw Data'!$B$35="","",'Raw Data'!$B$35)</f>
        <v>The Goob Troop</v>
      </c>
      <c r="I24" s="23" t="str">
        <f t="shared" si="1"/>
        <v>L</v>
      </c>
      <c r="J24" s="23">
        <f t="shared" si="2"/>
        <v>9</v>
      </c>
      <c r="K24" s="23" t="str">
        <f t="shared" si="3"/>
        <v>L</v>
      </c>
      <c r="L24" s="25">
        <f t="shared" si="4"/>
        <v>-4.5099999999999909</v>
      </c>
    </row>
    <row r="25" spans="1:12" x14ac:dyDescent="0.2">
      <c r="A25" s="23">
        <v>2</v>
      </c>
      <c r="B25" s="24" t="str">
        <f>IF('Raw Data'!$B$55="","",'Raw Data'!$B$55)</f>
        <v>5 Dozen Eggs by Gaston</v>
      </c>
      <c r="C25" s="45" t="str">
        <f>IF(B25="","",_xlfn.XLOOKUP(B25,'Raw Data'!$P$3:$P$16,'Raw Data'!$Q$3:$Q$16,0,0,1))</f>
        <v>Steve</v>
      </c>
      <c r="D25" s="25">
        <f>IF('Raw Data'!$B$52="","",'Raw Data'!$B$52)</f>
        <v>111.21</v>
      </c>
      <c r="E25" s="18" t="s">
        <v>1</v>
      </c>
      <c r="F25" s="25">
        <f>IF('Raw Data'!$B$49="","",'Raw Data'!$B$49)</f>
        <v>116.04</v>
      </c>
      <c r="G25" s="45" t="str">
        <f>IF(H25="","",_xlfn.XLOOKUP(H25,'Raw Data'!$P$3:$P$16,'Raw Data'!$Q$3:$Q$16,0,0,1))</f>
        <v>Tom</v>
      </c>
      <c r="H25" s="27" t="str">
        <f>IF('Raw Data'!$B$46="","",'Raw Data'!$B$46)</f>
        <v>Wrong Lever!</v>
      </c>
      <c r="I25" s="23" t="str">
        <f t="shared" si="1"/>
        <v>L</v>
      </c>
      <c r="J25" s="23">
        <f t="shared" si="2"/>
        <v>11</v>
      </c>
      <c r="K25" s="23" t="str">
        <f t="shared" si="3"/>
        <v>L</v>
      </c>
      <c r="L25" s="25">
        <f t="shared" si="4"/>
        <v>-4.8300000000000125</v>
      </c>
    </row>
    <row r="26" spans="1:12" x14ac:dyDescent="0.2">
      <c r="A26" s="23">
        <v>2</v>
      </c>
      <c r="B26" s="24" t="str">
        <f>IF('Raw Data'!$B$66="","",'Raw Data'!$B$66)</f>
        <v>Aladdin Jazerra</v>
      </c>
      <c r="C26" s="45" t="str">
        <f>IF(B26="","",_xlfn.XLOOKUP(B26,'Raw Data'!$P$3:$P$16,'Raw Data'!$Q$3:$Q$16,0,0,1))</f>
        <v>Ian</v>
      </c>
      <c r="D26" s="25">
        <f>IF('Raw Data'!$B$63="","",'Raw Data'!$B$63)</f>
        <v>100.77</v>
      </c>
      <c r="E26" s="18" t="s">
        <v>1</v>
      </c>
      <c r="F26" s="25">
        <f>IF('Raw Data'!$B$60="","",'Raw Data'!$B$60)</f>
        <v>127.63</v>
      </c>
      <c r="G26" s="45" t="str">
        <f>IF(H26="","",_xlfn.XLOOKUP(H26,'Raw Data'!$P$3:$P$16,'Raw Data'!$Q$3:$Q$16,0,0,1))</f>
        <v>Jared</v>
      </c>
      <c r="H26" s="27" t="str">
        <f>IF('Raw Data'!$B$57="","",'Raw Data'!$B$57)</f>
        <v>Tick Tock the Crocodile</v>
      </c>
      <c r="I26" s="23" t="str">
        <f t="shared" si="1"/>
        <v>L</v>
      </c>
      <c r="J26" s="23">
        <f t="shared" si="2"/>
        <v>12</v>
      </c>
      <c r="K26" s="23" t="str">
        <f t="shared" si="3"/>
        <v>L</v>
      </c>
      <c r="L26" s="25">
        <f t="shared" si="4"/>
        <v>-26.86</v>
      </c>
    </row>
    <row r="27" spans="1:12" x14ac:dyDescent="0.2">
      <c r="A27" s="23">
        <v>3</v>
      </c>
      <c r="B27" s="24" t="str">
        <f>IF('Raw Data'!$C$2="","",'Raw Data'!$C$2)</f>
        <v>SqueakSqueakinSqueakSqueakity</v>
      </c>
      <c r="C27" s="45" t="str">
        <f>IF(B27="","",_xlfn.XLOOKUP(B27,'Raw Data'!$P$3:$P$16,'Raw Data'!$Q$3:$Q$16,0,0,1))</f>
        <v>Dave</v>
      </c>
      <c r="D27" s="25">
        <f>IF('Raw Data'!$C$5="","",'Raw Data'!$C$5)</f>
        <v>117.22</v>
      </c>
      <c r="E27" s="18" t="s">
        <v>1</v>
      </c>
      <c r="F27" s="25">
        <f>IF('Raw Data'!$C$8="","",'Raw Data'!$C$8)</f>
        <v>91.81</v>
      </c>
      <c r="G27" s="45" t="str">
        <f>IF(H27="","",_xlfn.XLOOKUP(H27,'Raw Data'!$P$3:$P$16,'Raw Data'!$Q$3:$Q$16,0,0,1))</f>
        <v>Ian</v>
      </c>
      <c r="H27" s="26" t="str">
        <f>IF('Raw Data'!$C$11="","",'Raw Data'!$C$11)</f>
        <v>Aladdin Jazerra</v>
      </c>
      <c r="I27" s="23" t="str">
        <f t="shared" si="1"/>
        <v>W</v>
      </c>
      <c r="J27" s="23">
        <f t="shared" si="2"/>
        <v>8</v>
      </c>
      <c r="K27" s="23" t="str">
        <f t="shared" si="3"/>
        <v>L</v>
      </c>
      <c r="L27" s="25">
        <f t="shared" si="4"/>
        <v>25.409999999999997</v>
      </c>
    </row>
    <row r="28" spans="1:12" x14ac:dyDescent="0.2">
      <c r="A28" s="23">
        <v>3</v>
      </c>
      <c r="B28" s="24" t="str">
        <f>IF('Raw Data'!$C$13="","",'Raw Data'!$C$13)</f>
        <v>Prince Abooboo</v>
      </c>
      <c r="C28" s="45" t="str">
        <f>IF(B28="","",_xlfn.XLOOKUP(B28,'Raw Data'!$P$3:$P$16,'Raw Data'!$Q$3:$Q$16,0,0,1))</f>
        <v>Stefan</v>
      </c>
      <c r="D28" s="25">
        <f>IF('Raw Data'!$C$16="","",'Raw Data'!$C$16)</f>
        <v>121.96</v>
      </c>
      <c r="E28" s="18" t="s">
        <v>1</v>
      </c>
      <c r="F28" s="25">
        <f>IF('Raw Data'!$C$19="","",'Raw Data'!$C$19)</f>
        <v>108.47</v>
      </c>
      <c r="G28" s="45" t="str">
        <f>IF(H28="","",_xlfn.XLOOKUP(H28,'Raw Data'!$P$3:$P$16,'Raw Data'!$Q$3:$Q$16,0,0,1))</f>
        <v>Tom</v>
      </c>
      <c r="H28" s="26" t="str">
        <f>IF('Raw Data'!$C$22="","",'Raw Data'!$C$22)</f>
        <v>Wrong Lever!</v>
      </c>
      <c r="I28" s="23" t="str">
        <f t="shared" si="1"/>
        <v>W</v>
      </c>
      <c r="J28" s="23">
        <f t="shared" si="2"/>
        <v>6</v>
      </c>
      <c r="K28" s="23" t="str">
        <f t="shared" si="3"/>
        <v>W</v>
      </c>
      <c r="L28" s="25">
        <f t="shared" si="4"/>
        <v>13.489999999999995</v>
      </c>
    </row>
    <row r="29" spans="1:12" x14ac:dyDescent="0.2">
      <c r="A29" s="23">
        <v>3</v>
      </c>
      <c r="B29" s="24" t="str">
        <f>IF('Raw Data'!$C$24="","",'Raw Data'!$C$24)</f>
        <v>Jafar</v>
      </c>
      <c r="C29" s="45" t="str">
        <f>IF(B29="","",_xlfn.XLOOKUP(B29,'Raw Data'!$P$3:$P$16,'Raw Data'!$Q$3:$Q$16,0,0,1))</f>
        <v>Beau</v>
      </c>
      <c r="D29" s="25">
        <f>IF('Raw Data'!$C$27="","",'Raw Data'!$C$27)</f>
        <v>117.61</v>
      </c>
      <c r="E29" s="18" t="s">
        <v>1</v>
      </c>
      <c r="F29" s="25">
        <f>IF('Raw Data'!$C$30="","",'Raw Data'!$C$30)</f>
        <v>97.42</v>
      </c>
      <c r="G29" s="45" t="str">
        <f>IF(H29="","",_xlfn.XLOOKUP(H29,'Raw Data'!$P$3:$P$16,'Raw Data'!$Q$3:$Q$16,0,0,1))</f>
        <v>Justin</v>
      </c>
      <c r="H29" s="26" t="str">
        <f>IF('Raw Data'!$C$33="","",'Raw Data'!$C$33)</f>
        <v>The Goob Troop</v>
      </c>
      <c r="I29" s="23" t="str">
        <f t="shared" si="1"/>
        <v>W</v>
      </c>
      <c r="J29" s="23">
        <f t="shared" si="2"/>
        <v>7</v>
      </c>
      <c r="K29" s="23" t="str">
        <f t="shared" si="3"/>
        <v>L</v>
      </c>
      <c r="L29" s="25">
        <f t="shared" si="4"/>
        <v>20.189999999999998</v>
      </c>
    </row>
    <row r="30" spans="1:12" x14ac:dyDescent="0.2">
      <c r="A30" s="23">
        <v>3</v>
      </c>
      <c r="B30" s="24" t="str">
        <f>IF('Raw Data'!$C$35="","",'Raw Data'!$C$35)</f>
        <v>We're all mad here</v>
      </c>
      <c r="C30" s="45" t="str">
        <f>IF(B30="","",_xlfn.XLOOKUP(B30,'Raw Data'!$P$3:$P$16,'Raw Data'!$Q$3:$Q$16,0,0,1))</f>
        <v>Rico</v>
      </c>
      <c r="D30" s="25">
        <f>IF('Raw Data'!$C$38="","",'Raw Data'!$C$38)</f>
        <v>132.21</v>
      </c>
      <c r="E30" s="18" t="s">
        <v>1</v>
      </c>
      <c r="F30" s="25">
        <f>IF('Raw Data'!$C$41="","",'Raw Data'!$C$41)</f>
        <v>114.99</v>
      </c>
      <c r="G30" s="45" t="str">
        <f>IF(H30="","",_xlfn.XLOOKUP(H30,'Raw Data'!$P$3:$P$16,'Raw Data'!$Q$3:$Q$16,0,0,1))</f>
        <v>Jared</v>
      </c>
      <c r="H30" s="26" t="str">
        <f>IF('Raw Data'!$C$44="","",'Raw Data'!$C$44)</f>
        <v>Tick Tock the Crocodile</v>
      </c>
      <c r="I30" s="23" t="str">
        <f t="shared" si="1"/>
        <v>W</v>
      </c>
      <c r="J30" s="23">
        <f t="shared" si="2"/>
        <v>4</v>
      </c>
      <c r="K30" s="23" t="str">
        <f t="shared" si="3"/>
        <v>W</v>
      </c>
      <c r="L30" s="25">
        <f t="shared" si="4"/>
        <v>17.220000000000013</v>
      </c>
    </row>
    <row r="31" spans="1:12" x14ac:dyDescent="0.2">
      <c r="A31" s="23">
        <v>3</v>
      </c>
      <c r="B31" s="24" t="str">
        <f>IF('Raw Data'!$C$46="","",'Raw Data'!$C$46)</f>
        <v>5 Dozen Eggs by Gaston</v>
      </c>
      <c r="C31" s="45" t="str">
        <f>IF(B31="","",_xlfn.XLOOKUP(B31,'Raw Data'!$P$3:$P$16,'Raw Data'!$Q$3:$Q$16,0,0,1))</f>
        <v>Steve</v>
      </c>
      <c r="D31" s="25">
        <f>IF('Raw Data'!$C$49="","",'Raw Data'!$C$49)</f>
        <v>137.16999999999999</v>
      </c>
      <c r="E31" s="18" t="s">
        <v>1</v>
      </c>
      <c r="F31" s="25">
        <f>IF('Raw Data'!$C$52="","",'Raw Data'!$C$52)</f>
        <v>142.05000000000001</v>
      </c>
      <c r="G31" s="45" t="str">
        <f>IF(H31="","",_xlfn.XLOOKUP(H31,'Raw Data'!$P$3:$P$16,'Raw Data'!$Q$3:$Q$16,0,0,1))</f>
        <v>Eddie</v>
      </c>
      <c r="H31" s="26" t="str">
        <f>IF('Raw Data'!$C$55="","",'Raw Data'!$C$55)</f>
        <v>The Rescuers vs Medusa</v>
      </c>
      <c r="I31" s="23" t="str">
        <f t="shared" si="1"/>
        <v>L</v>
      </c>
      <c r="J31" s="23">
        <f t="shared" si="2"/>
        <v>3</v>
      </c>
      <c r="K31" s="23" t="str">
        <f t="shared" si="3"/>
        <v>W</v>
      </c>
      <c r="L31" s="25">
        <f t="shared" si="4"/>
        <v>-4.8800000000000239</v>
      </c>
    </row>
    <row r="32" spans="1:12" x14ac:dyDescent="0.2">
      <c r="A32" s="23">
        <v>3</v>
      </c>
      <c r="B32" s="24" t="str">
        <f>IF('Raw Data'!$C$57="","",'Raw Data'!$C$57)</f>
        <v>Herbie's Honkers</v>
      </c>
      <c r="C32" s="45" t="str">
        <f>IF(B32="","",_xlfn.XLOOKUP(B32,'Raw Data'!$P$3:$P$16,'Raw Data'!$Q$3:$Q$16,0,0,1))</f>
        <v>Dylan</v>
      </c>
      <c r="D32" s="25">
        <f>IF('Raw Data'!$C$60="","",'Raw Data'!$C$60)</f>
        <v>151.75</v>
      </c>
      <c r="E32" s="18" t="s">
        <v>1</v>
      </c>
      <c r="F32" s="25">
        <f>IF('Raw Data'!$C$63="","",'Raw Data'!$C$63)</f>
        <v>124.71</v>
      </c>
      <c r="G32" s="45" t="str">
        <f>IF(H32="","",_xlfn.XLOOKUP(H32,'Raw Data'!$P$3:$P$16,'Raw Data'!$Q$3:$Q$16,0,0,1))</f>
        <v>Nate</v>
      </c>
      <c r="H32" s="26" t="str">
        <f>IF('Raw Data'!$C$66="","",'Raw Data'!$C$66)</f>
        <v>Stupid Smartass Psycho</v>
      </c>
      <c r="I32" s="23" t="str">
        <f t="shared" si="1"/>
        <v>W</v>
      </c>
      <c r="J32" s="23">
        <f t="shared" si="2"/>
        <v>1</v>
      </c>
      <c r="K32" s="23" t="str">
        <f t="shared" si="3"/>
        <v>W</v>
      </c>
      <c r="L32" s="25">
        <f t="shared" si="4"/>
        <v>27.040000000000006</v>
      </c>
    </row>
    <row r="33" spans="1:12" x14ac:dyDescent="0.2">
      <c r="A33" s="23">
        <v>3</v>
      </c>
      <c r="B33" s="24" t="str">
        <f>IF('Raw Data'!$C$11="","",'Raw Data'!$C$11)</f>
        <v>Aladdin Jazerra</v>
      </c>
      <c r="C33" s="45" t="str">
        <f>IF(B33="","",_xlfn.XLOOKUP(B33,'Raw Data'!$P$3:$P$16,'Raw Data'!$Q$3:$Q$16,0,0,1))</f>
        <v>Ian</v>
      </c>
      <c r="D33" s="25">
        <f>IF('Raw Data'!$C$8="","",'Raw Data'!$C$8)</f>
        <v>91.81</v>
      </c>
      <c r="E33" s="18" t="s">
        <v>1</v>
      </c>
      <c r="F33" s="25">
        <f>IF('Raw Data'!$C$5="","",'Raw Data'!$C$5)</f>
        <v>117.22</v>
      </c>
      <c r="G33" s="45" t="str">
        <f>IF(H33="","",_xlfn.XLOOKUP(H33,'Raw Data'!$P$3:$P$16,'Raw Data'!$Q$3:$Q$16,0,0,1))</f>
        <v>Dave</v>
      </c>
      <c r="H33" s="27" t="str">
        <f>IF('Raw Data'!$C$2="","",'Raw Data'!$C$2)</f>
        <v>SqueakSqueakinSqueakSqueakity</v>
      </c>
      <c r="I33" s="23" t="str">
        <f t="shared" si="1"/>
        <v>L</v>
      </c>
      <c r="J33" s="23">
        <f t="shared" si="2"/>
        <v>12</v>
      </c>
      <c r="K33" s="23" t="str">
        <f t="shared" si="3"/>
        <v>L</v>
      </c>
      <c r="L33" s="25">
        <f t="shared" si="4"/>
        <v>-25.409999999999997</v>
      </c>
    </row>
    <row r="34" spans="1:12" x14ac:dyDescent="0.2">
      <c r="A34" s="23">
        <v>3</v>
      </c>
      <c r="B34" s="24" t="str">
        <f>IF('Raw Data'!$C$22="","",'Raw Data'!$C$22)</f>
        <v>Wrong Lever!</v>
      </c>
      <c r="C34" s="45" t="str">
        <f>IF(B34="","",_xlfn.XLOOKUP(B34,'Raw Data'!$P$3:$P$16,'Raw Data'!$Q$3:$Q$16,0,0,1))</f>
        <v>Tom</v>
      </c>
      <c r="D34" s="25">
        <f>IF('Raw Data'!$C$19="","",'Raw Data'!$C$19)</f>
        <v>108.47</v>
      </c>
      <c r="E34" s="18" t="s">
        <v>1</v>
      </c>
      <c r="F34" s="25">
        <f>IF('Raw Data'!$C$16="","",'Raw Data'!$C$16)</f>
        <v>121.96</v>
      </c>
      <c r="G34" s="45" t="str">
        <f>IF(H34="","",_xlfn.XLOOKUP(H34,'Raw Data'!$P$3:$P$16,'Raw Data'!$Q$3:$Q$16,0,0,1))</f>
        <v>Stefan</v>
      </c>
      <c r="H34" s="27" t="str">
        <f>IF('Raw Data'!$C$13="","",'Raw Data'!$C$13)</f>
        <v>Prince Abooboo</v>
      </c>
      <c r="I34" s="23" t="str">
        <f t="shared" si="1"/>
        <v>L</v>
      </c>
      <c r="J34" s="23">
        <f t="shared" si="2"/>
        <v>10</v>
      </c>
      <c r="K34" s="23" t="str">
        <f t="shared" si="3"/>
        <v>L</v>
      </c>
      <c r="L34" s="25">
        <f t="shared" si="4"/>
        <v>-13.489999999999995</v>
      </c>
    </row>
    <row r="35" spans="1:12" x14ac:dyDescent="0.2">
      <c r="A35" s="23">
        <v>3</v>
      </c>
      <c r="B35" s="24" t="str">
        <f>IF('Raw Data'!$C$33="","",'Raw Data'!$C$33)</f>
        <v>The Goob Troop</v>
      </c>
      <c r="C35" s="45" t="str">
        <f>IF(B35="","",_xlfn.XLOOKUP(B35,'Raw Data'!$P$3:$P$16,'Raw Data'!$Q$3:$Q$16,0,0,1))</f>
        <v>Justin</v>
      </c>
      <c r="D35" s="25">
        <f>IF('Raw Data'!$C$30="","",'Raw Data'!$C$30)</f>
        <v>97.42</v>
      </c>
      <c r="E35" s="18" t="s">
        <v>1</v>
      </c>
      <c r="F35" s="25">
        <f>IF('Raw Data'!$C$27="","",'Raw Data'!$C$27)</f>
        <v>117.61</v>
      </c>
      <c r="G35" s="45" t="str">
        <f>IF(H35="","",_xlfn.XLOOKUP(H35,'Raw Data'!$P$3:$P$16,'Raw Data'!$Q$3:$Q$16,0,0,1))</f>
        <v>Beau</v>
      </c>
      <c r="H35" s="27" t="str">
        <f>IF('Raw Data'!$C$24="","",'Raw Data'!$C$24)</f>
        <v>Jafar</v>
      </c>
      <c r="I35" s="23" t="str">
        <f t="shared" si="1"/>
        <v>L</v>
      </c>
      <c r="J35" s="23">
        <f t="shared" si="2"/>
        <v>11</v>
      </c>
      <c r="K35" s="23" t="str">
        <f t="shared" si="3"/>
        <v>L</v>
      </c>
      <c r="L35" s="25">
        <f t="shared" si="4"/>
        <v>-20.189999999999998</v>
      </c>
    </row>
    <row r="36" spans="1:12" x14ac:dyDescent="0.2">
      <c r="A36" s="23">
        <v>3</v>
      </c>
      <c r="B36" s="24" t="str">
        <f>IF('Raw Data'!$C$44="","",'Raw Data'!$C$44)</f>
        <v>Tick Tock the Crocodile</v>
      </c>
      <c r="C36" s="45" t="str">
        <f>IF(B36="","",_xlfn.XLOOKUP(B36,'Raw Data'!$P$3:$P$16,'Raw Data'!$Q$3:$Q$16,0,0,1))</f>
        <v>Jared</v>
      </c>
      <c r="D36" s="25">
        <f>IF('Raw Data'!$C$41="","",'Raw Data'!$C$41)</f>
        <v>114.99</v>
      </c>
      <c r="E36" s="18" t="s">
        <v>1</v>
      </c>
      <c r="F36" s="25">
        <f>IF('Raw Data'!$C$38="","",'Raw Data'!$C$38)</f>
        <v>132.21</v>
      </c>
      <c r="G36" s="45" t="str">
        <f>IF(H36="","",_xlfn.XLOOKUP(H36,'Raw Data'!$P$3:$P$16,'Raw Data'!$Q$3:$Q$16,0,0,1))</f>
        <v>Rico</v>
      </c>
      <c r="H36" s="27" t="str">
        <f>IF('Raw Data'!$C$35="","",'Raw Data'!$C$35)</f>
        <v>We're all mad here</v>
      </c>
      <c r="I36" s="23" t="str">
        <f t="shared" si="1"/>
        <v>L</v>
      </c>
      <c r="J36" s="23">
        <f t="shared" si="2"/>
        <v>9</v>
      </c>
      <c r="K36" s="23" t="str">
        <f t="shared" si="3"/>
        <v>L</v>
      </c>
      <c r="L36" s="25">
        <f t="shared" si="4"/>
        <v>-17.220000000000013</v>
      </c>
    </row>
    <row r="37" spans="1:12" x14ac:dyDescent="0.2">
      <c r="A37" s="23">
        <v>3</v>
      </c>
      <c r="B37" s="24" t="str">
        <f>IF('Raw Data'!$C$55="","",'Raw Data'!$C$55)</f>
        <v>The Rescuers vs Medusa</v>
      </c>
      <c r="C37" s="45" t="str">
        <f>IF(B37="","",_xlfn.XLOOKUP(B37,'Raw Data'!$P$3:$P$16,'Raw Data'!$Q$3:$Q$16,0,0,1))</f>
        <v>Eddie</v>
      </c>
      <c r="D37" s="25">
        <f>IF('Raw Data'!$C$52="","",'Raw Data'!$C$52)</f>
        <v>142.05000000000001</v>
      </c>
      <c r="E37" s="18" t="s">
        <v>1</v>
      </c>
      <c r="F37" s="25">
        <f>IF('Raw Data'!$C$49="","",'Raw Data'!$C$49)</f>
        <v>137.16999999999999</v>
      </c>
      <c r="G37" s="45" t="str">
        <f>IF(H37="","",_xlfn.XLOOKUP(H37,'Raw Data'!$P$3:$P$16,'Raw Data'!$Q$3:$Q$16,0,0,1))</f>
        <v>Steve</v>
      </c>
      <c r="H37" s="27" t="str">
        <f>IF('Raw Data'!$C$46="","",'Raw Data'!$C$46)</f>
        <v>5 Dozen Eggs by Gaston</v>
      </c>
      <c r="I37" s="23" t="str">
        <f t="shared" si="1"/>
        <v>W</v>
      </c>
      <c r="J37" s="23">
        <f t="shared" si="2"/>
        <v>2</v>
      </c>
      <c r="K37" s="23" t="str">
        <f t="shared" si="3"/>
        <v>W</v>
      </c>
      <c r="L37" s="25">
        <f t="shared" si="4"/>
        <v>4.8800000000000239</v>
      </c>
    </row>
    <row r="38" spans="1:12" x14ac:dyDescent="0.2">
      <c r="A38" s="23">
        <v>3</v>
      </c>
      <c r="B38" s="24" t="str">
        <f>IF('Raw Data'!$C$66="","",'Raw Data'!$C$66)</f>
        <v>Stupid Smartass Psycho</v>
      </c>
      <c r="C38" s="45" t="str">
        <f>IF(B38="","",_xlfn.XLOOKUP(B38,'Raw Data'!$P$3:$P$16,'Raw Data'!$Q$3:$Q$16,0,0,1))</f>
        <v>Nate</v>
      </c>
      <c r="D38" s="25">
        <f>IF('Raw Data'!$C$63="","",'Raw Data'!$C$63)</f>
        <v>124.71</v>
      </c>
      <c r="E38" s="18" t="s">
        <v>1</v>
      </c>
      <c r="F38" s="25">
        <f>IF('Raw Data'!$C$60="","",'Raw Data'!$C$60)</f>
        <v>151.75</v>
      </c>
      <c r="G38" s="45" t="str">
        <f>IF(H38="","",_xlfn.XLOOKUP(H38,'Raw Data'!$P$3:$P$16,'Raw Data'!$Q$3:$Q$16,0,0,1))</f>
        <v>Dylan</v>
      </c>
      <c r="H38" s="27" t="str">
        <f>IF('Raw Data'!$C$57="","",'Raw Data'!$C$57)</f>
        <v>Herbie's Honkers</v>
      </c>
      <c r="I38" s="23" t="str">
        <f t="shared" si="1"/>
        <v>L</v>
      </c>
      <c r="J38" s="23">
        <f t="shared" si="2"/>
        <v>5</v>
      </c>
      <c r="K38" s="23" t="str">
        <f t="shared" si="3"/>
        <v>W</v>
      </c>
      <c r="L38" s="25">
        <f t="shared" si="4"/>
        <v>-27.040000000000006</v>
      </c>
    </row>
    <row r="39" spans="1:12" x14ac:dyDescent="0.2">
      <c r="A39" s="23">
        <v>4</v>
      </c>
      <c r="B39" s="24" t="str">
        <f>IF('Raw Data'!$D$2="","",'Raw Data'!$D$2)</f>
        <v>SqueakSqueakinSqueakSqueakity</v>
      </c>
      <c r="C39" s="45" t="str">
        <f>IF(B39="","",_xlfn.XLOOKUP(B39,'Raw Data'!$P$3:$P$16,'Raw Data'!$Q$3:$Q$16,0,0,1))</f>
        <v>Dave</v>
      </c>
      <c r="D39" s="25">
        <f>IF('Raw Data'!$D$5="","",'Raw Data'!$D$5)</f>
        <v>146.76</v>
      </c>
      <c r="E39" s="18" t="s">
        <v>1</v>
      </c>
      <c r="F39" s="25">
        <f>IF('Raw Data'!$D$8="","",'Raw Data'!$D$8)</f>
        <v>133.71</v>
      </c>
      <c r="G39" s="45" t="str">
        <f>IF(H39="","",_xlfn.XLOOKUP(H39,'Raw Data'!$P$3:$P$16,'Raw Data'!$Q$3:$Q$16,0,0,1))</f>
        <v>Jared</v>
      </c>
      <c r="H39" s="26" t="str">
        <f>IF('Raw Data'!$D$11="","",'Raw Data'!$D$11)</f>
        <v>Tick Tock the Crocodile</v>
      </c>
      <c r="I39" s="23" t="str">
        <f t="shared" si="1"/>
        <v>W</v>
      </c>
      <c r="J39" s="23">
        <f t="shared" si="2"/>
        <v>4</v>
      </c>
      <c r="K39" s="23" t="str">
        <f t="shared" si="3"/>
        <v>W</v>
      </c>
      <c r="L39" s="25">
        <f t="shared" si="4"/>
        <v>13.049999999999983</v>
      </c>
    </row>
    <row r="40" spans="1:12" x14ac:dyDescent="0.2">
      <c r="A40" s="23">
        <v>4</v>
      </c>
      <c r="B40" s="24" t="str">
        <f>IF('Raw Data'!$D$13="","",'Raw Data'!$D$13)</f>
        <v>Prince Abooboo</v>
      </c>
      <c r="C40" s="45" t="str">
        <f>IF(B40="","",_xlfn.XLOOKUP(B40,'Raw Data'!$P$3:$P$16,'Raw Data'!$Q$3:$Q$16,0,0,1))</f>
        <v>Stefan</v>
      </c>
      <c r="D40" s="25">
        <f>IF('Raw Data'!$D$16="","",'Raw Data'!$D$16)</f>
        <v>149.13999999999999</v>
      </c>
      <c r="E40" s="18" t="s">
        <v>1</v>
      </c>
      <c r="F40" s="25">
        <f>IF('Raw Data'!$D$19="","",'Raw Data'!$D$19)</f>
        <v>129.44999999999999</v>
      </c>
      <c r="G40" s="45" t="str">
        <f>IF(H40="","",_xlfn.XLOOKUP(H40,'Raw Data'!$P$3:$P$16,'Raw Data'!$Q$3:$Q$16,0,0,1))</f>
        <v>Steve</v>
      </c>
      <c r="H40" s="26" t="str">
        <f>IF('Raw Data'!$D$22="","",'Raw Data'!$D$22)</f>
        <v>5 Dozen Eggs by Gaston</v>
      </c>
      <c r="I40" s="23" t="str">
        <f t="shared" si="1"/>
        <v>W</v>
      </c>
      <c r="J40" s="23">
        <f t="shared" si="2"/>
        <v>3</v>
      </c>
      <c r="K40" s="23" t="str">
        <f t="shared" si="3"/>
        <v>W</v>
      </c>
      <c r="L40" s="25">
        <f t="shared" si="4"/>
        <v>19.689999999999998</v>
      </c>
    </row>
    <row r="41" spans="1:12" x14ac:dyDescent="0.2">
      <c r="A41" s="23">
        <v>4</v>
      </c>
      <c r="B41" s="24" t="str">
        <f>IF('Raw Data'!$D$24="","",'Raw Data'!$D$24)</f>
        <v>Jafar</v>
      </c>
      <c r="C41" s="45" t="str">
        <f>IF(B41="","",_xlfn.XLOOKUP(B41,'Raw Data'!$P$3:$P$16,'Raw Data'!$Q$3:$Q$16,0,0,1))</f>
        <v>Beau</v>
      </c>
      <c r="D41" s="25">
        <f>IF('Raw Data'!$D$27="","",'Raw Data'!$D$27)</f>
        <v>154.99</v>
      </c>
      <c r="E41" s="18" t="s">
        <v>1</v>
      </c>
      <c r="F41" s="25">
        <f>IF('Raw Data'!$D$30="","",'Raw Data'!$D$30)</f>
        <v>150.51</v>
      </c>
      <c r="G41" s="45" t="str">
        <f>IF(H41="","",_xlfn.XLOOKUP(H41,'Raw Data'!$P$3:$P$16,'Raw Data'!$Q$3:$Q$16,0,0,1))</f>
        <v>Dylan</v>
      </c>
      <c r="H41" s="26" t="str">
        <f>IF('Raw Data'!$D$33="","",'Raw Data'!$D$33)</f>
        <v>Herbie's Honkers</v>
      </c>
      <c r="I41" s="23" t="str">
        <f t="shared" si="1"/>
        <v>W</v>
      </c>
      <c r="J41" s="23">
        <f t="shared" si="2"/>
        <v>1</v>
      </c>
      <c r="K41" s="23" t="str">
        <f t="shared" si="3"/>
        <v>W</v>
      </c>
      <c r="L41" s="25">
        <f t="shared" si="4"/>
        <v>4.4800000000000182</v>
      </c>
    </row>
    <row r="42" spans="1:12" x14ac:dyDescent="0.2">
      <c r="A42" s="23">
        <v>4</v>
      </c>
      <c r="B42" s="24" t="str">
        <f>IF('Raw Data'!$D$35="","",'Raw Data'!$D$35)</f>
        <v>We're all mad here</v>
      </c>
      <c r="C42" s="45" t="str">
        <f>IF(B42="","",_xlfn.XLOOKUP(B42,'Raw Data'!$P$3:$P$16,'Raw Data'!$Q$3:$Q$16,0,0,1))</f>
        <v>Rico</v>
      </c>
      <c r="D42" s="25">
        <f>IF('Raw Data'!$D$38="","",'Raw Data'!$D$38)</f>
        <v>108.65</v>
      </c>
      <c r="E42" s="18" t="s">
        <v>1</v>
      </c>
      <c r="F42" s="25">
        <f>IF('Raw Data'!$D$41="","",'Raw Data'!$D$41)</f>
        <v>129.07</v>
      </c>
      <c r="G42" s="45" t="str">
        <f>IF(H42="","",_xlfn.XLOOKUP(H42,'Raw Data'!$P$3:$P$16,'Raw Data'!$Q$3:$Q$16,0,0,1))</f>
        <v>Ian</v>
      </c>
      <c r="H42" s="26" t="str">
        <f>IF('Raw Data'!$D$44="","",'Raw Data'!$D$44)</f>
        <v>Aladdin Jazerra</v>
      </c>
      <c r="I42" s="23" t="str">
        <f t="shared" si="1"/>
        <v>L</v>
      </c>
      <c r="J42" s="23">
        <f t="shared" si="2"/>
        <v>9</v>
      </c>
      <c r="K42" s="23" t="str">
        <f t="shared" si="3"/>
        <v>L</v>
      </c>
      <c r="L42" s="25">
        <f t="shared" si="4"/>
        <v>-20.419999999999987</v>
      </c>
    </row>
    <row r="43" spans="1:12" x14ac:dyDescent="0.2">
      <c r="A43" s="23">
        <v>4</v>
      </c>
      <c r="B43" s="24" t="str">
        <f>IF('Raw Data'!$D$46="","",'Raw Data'!$D$46)</f>
        <v>The Goob Troop</v>
      </c>
      <c r="C43" s="45" t="str">
        <f>IF(B43="","",_xlfn.XLOOKUP(B43,'Raw Data'!$P$3:$P$16,'Raw Data'!$Q$3:$Q$16,0,0,1))</f>
        <v>Justin</v>
      </c>
      <c r="D43" s="25">
        <f>IF('Raw Data'!$D$49="","",'Raw Data'!$D$49)</f>
        <v>102.05</v>
      </c>
      <c r="E43" s="18" t="s">
        <v>1</v>
      </c>
      <c r="F43" s="25">
        <f>IF('Raw Data'!$D$52="","",'Raw Data'!$D$52)</f>
        <v>126.87</v>
      </c>
      <c r="G43" s="45" t="str">
        <f>IF(H43="","",_xlfn.XLOOKUP(H43,'Raw Data'!$P$3:$P$16,'Raw Data'!$Q$3:$Q$16,0,0,1))</f>
        <v>Nate</v>
      </c>
      <c r="H43" s="26" t="str">
        <f>IF('Raw Data'!$D$55="","",'Raw Data'!$D$55)</f>
        <v>Stupid Smartass Psycho</v>
      </c>
      <c r="I43" s="23" t="str">
        <f t="shared" si="1"/>
        <v>L</v>
      </c>
      <c r="J43" s="23">
        <f t="shared" si="2"/>
        <v>11</v>
      </c>
      <c r="K43" s="23" t="str">
        <f t="shared" si="3"/>
        <v>L</v>
      </c>
      <c r="L43" s="25">
        <f t="shared" si="4"/>
        <v>-24.820000000000007</v>
      </c>
    </row>
    <row r="44" spans="1:12" x14ac:dyDescent="0.2">
      <c r="A44" s="23">
        <v>4</v>
      </c>
      <c r="B44" s="24" t="str">
        <f>IF('Raw Data'!$D$57="","",'Raw Data'!$D$57)</f>
        <v>Wrong Lever!</v>
      </c>
      <c r="C44" s="45" t="str">
        <f>IF(B44="","",_xlfn.XLOOKUP(B44,'Raw Data'!$P$3:$P$16,'Raw Data'!$Q$3:$Q$16,0,0,1))</f>
        <v>Tom</v>
      </c>
      <c r="D44" s="25">
        <f>IF('Raw Data'!$D$60="","",'Raw Data'!$D$60)</f>
        <v>106.53</v>
      </c>
      <c r="E44" s="18" t="s">
        <v>1</v>
      </c>
      <c r="F44" s="25">
        <f>IF('Raw Data'!$D$63="","",'Raw Data'!$D$63)</f>
        <v>99.91</v>
      </c>
      <c r="G44" s="45" t="str">
        <f>IF(H44="","",_xlfn.XLOOKUP(H44,'Raw Data'!$P$3:$P$16,'Raw Data'!$Q$3:$Q$16,0,0,1))</f>
        <v>Eddie</v>
      </c>
      <c r="H44" s="26" t="str">
        <f>IF('Raw Data'!$D$66="","",'Raw Data'!$D$66)</f>
        <v>The Rescuers vs Medusa</v>
      </c>
      <c r="I44" s="23" t="str">
        <f t="shared" si="1"/>
        <v>W</v>
      </c>
      <c r="J44" s="23">
        <f t="shared" si="2"/>
        <v>10</v>
      </c>
      <c r="K44" s="23" t="str">
        <f t="shared" si="3"/>
        <v>L</v>
      </c>
      <c r="L44" s="25">
        <f t="shared" si="4"/>
        <v>6.6200000000000045</v>
      </c>
    </row>
    <row r="45" spans="1:12" x14ac:dyDescent="0.2">
      <c r="A45" s="23">
        <v>4</v>
      </c>
      <c r="B45" s="24" t="str">
        <f>IF('Raw Data'!$D$11="","",'Raw Data'!$D$11)</f>
        <v>Tick Tock the Crocodile</v>
      </c>
      <c r="C45" s="45" t="str">
        <f>IF(B45="","",_xlfn.XLOOKUP(B45,'Raw Data'!$P$3:$P$16,'Raw Data'!$Q$3:$Q$16,0,0,1))</f>
        <v>Jared</v>
      </c>
      <c r="D45" s="25">
        <f>IF('Raw Data'!$D$8="","",'Raw Data'!$D$8)</f>
        <v>133.71</v>
      </c>
      <c r="E45" s="18" t="s">
        <v>1</v>
      </c>
      <c r="F45" s="25">
        <f>IF('Raw Data'!$D$5="","",'Raw Data'!$D$5)</f>
        <v>146.76</v>
      </c>
      <c r="G45" s="45" t="str">
        <f>IF(H45="","",_xlfn.XLOOKUP(H45,'Raw Data'!$P$3:$P$16,'Raw Data'!$Q$3:$Q$16,0,0,1))</f>
        <v>Dave</v>
      </c>
      <c r="H45" s="27" t="str">
        <f>IF('Raw Data'!$D$2="","",'Raw Data'!$D$2)</f>
        <v>SqueakSqueakinSqueakSqueakity</v>
      </c>
      <c r="I45" s="23" t="str">
        <f t="shared" si="1"/>
        <v>L</v>
      </c>
      <c r="J45" s="23">
        <f t="shared" si="2"/>
        <v>5</v>
      </c>
      <c r="K45" s="23" t="str">
        <f t="shared" si="3"/>
        <v>W</v>
      </c>
      <c r="L45" s="25">
        <f t="shared" si="4"/>
        <v>-13.049999999999983</v>
      </c>
    </row>
    <row r="46" spans="1:12" x14ac:dyDescent="0.2">
      <c r="A46" s="23">
        <v>4</v>
      </c>
      <c r="B46" s="24" t="str">
        <f>IF('Raw Data'!$D$22="","",'Raw Data'!$D$22)</f>
        <v>5 Dozen Eggs by Gaston</v>
      </c>
      <c r="C46" s="45" t="str">
        <f>IF(B46="","",_xlfn.XLOOKUP(B46,'Raw Data'!$P$3:$P$16,'Raw Data'!$Q$3:$Q$16,0,0,1))</f>
        <v>Steve</v>
      </c>
      <c r="D46" s="25">
        <f>IF('Raw Data'!$D$19="","",'Raw Data'!$D$19)</f>
        <v>129.44999999999999</v>
      </c>
      <c r="E46" s="18" t="s">
        <v>1</v>
      </c>
      <c r="F46" s="25">
        <f>IF('Raw Data'!$D$16="","",'Raw Data'!$D$16)</f>
        <v>149.13999999999999</v>
      </c>
      <c r="G46" s="45" t="str">
        <f>IF(H46="","",_xlfn.XLOOKUP(H46,'Raw Data'!$P$3:$P$16,'Raw Data'!$Q$3:$Q$16,0,0,1))</f>
        <v>Stefan</v>
      </c>
      <c r="H46" s="27" t="str">
        <f>IF('Raw Data'!$D$13="","",'Raw Data'!$D$13)</f>
        <v>Prince Abooboo</v>
      </c>
      <c r="I46" s="23" t="str">
        <f t="shared" si="1"/>
        <v>L</v>
      </c>
      <c r="J46" s="23">
        <f t="shared" si="2"/>
        <v>6</v>
      </c>
      <c r="K46" s="95" t="s">
        <v>21</v>
      </c>
      <c r="L46" s="25">
        <f t="shared" si="4"/>
        <v>-19.689999999999998</v>
      </c>
    </row>
    <row r="47" spans="1:12" x14ac:dyDescent="0.2">
      <c r="A47" s="23">
        <v>4</v>
      </c>
      <c r="B47" s="24" t="str">
        <f>IF('Raw Data'!$D$33="","",'Raw Data'!$D$33)</f>
        <v>Herbie's Honkers</v>
      </c>
      <c r="C47" s="45" t="str">
        <f>IF(B47="","",_xlfn.XLOOKUP(B47,'Raw Data'!$P$3:$P$16,'Raw Data'!$Q$3:$Q$16,0,0,1))</f>
        <v>Dylan</v>
      </c>
      <c r="D47" s="25">
        <f>IF('Raw Data'!$D$30="","",'Raw Data'!$D$30)</f>
        <v>150.51</v>
      </c>
      <c r="E47" s="18" t="s">
        <v>1</v>
      </c>
      <c r="F47" s="25">
        <f>IF('Raw Data'!$D$27="","",'Raw Data'!$D$27)</f>
        <v>154.99</v>
      </c>
      <c r="G47" s="45" t="str">
        <f>IF(H47="","",_xlfn.XLOOKUP(H47,'Raw Data'!$P$3:$P$16,'Raw Data'!$Q$3:$Q$16,0,0,1))</f>
        <v>Beau</v>
      </c>
      <c r="H47" s="27" t="str">
        <f>IF('Raw Data'!$D$24="","",'Raw Data'!$D$24)</f>
        <v>Jafar</v>
      </c>
      <c r="I47" s="23" t="str">
        <f t="shared" si="1"/>
        <v>L</v>
      </c>
      <c r="J47" s="23">
        <f t="shared" si="2"/>
        <v>2</v>
      </c>
      <c r="K47" s="23" t="str">
        <f t="shared" si="3"/>
        <v>W</v>
      </c>
      <c r="L47" s="25">
        <f t="shared" si="4"/>
        <v>-4.4800000000000182</v>
      </c>
    </row>
    <row r="48" spans="1:12" x14ac:dyDescent="0.2">
      <c r="A48" s="23">
        <v>4</v>
      </c>
      <c r="B48" s="24" t="str">
        <f>IF('Raw Data'!$D$44="","",'Raw Data'!$D$44)</f>
        <v>Aladdin Jazerra</v>
      </c>
      <c r="C48" s="45" t="str">
        <f>IF(B48="","",_xlfn.XLOOKUP(B48,'Raw Data'!$P$3:$P$16,'Raw Data'!$Q$3:$Q$16,0,0,1))</f>
        <v>Ian</v>
      </c>
      <c r="D48" s="25">
        <f>IF('Raw Data'!$D$41="","",'Raw Data'!$D$41)</f>
        <v>129.07</v>
      </c>
      <c r="E48" s="18" t="s">
        <v>1</v>
      </c>
      <c r="F48" s="25">
        <f>IF('Raw Data'!$D$38="","",'Raw Data'!$D$38)</f>
        <v>108.65</v>
      </c>
      <c r="G48" s="45" t="str">
        <f>IF(H48="","",_xlfn.XLOOKUP(H48,'Raw Data'!$P$3:$P$16,'Raw Data'!$Q$3:$Q$16,0,0,1))</f>
        <v>Rico</v>
      </c>
      <c r="H48" s="27" t="str">
        <f>IF('Raw Data'!$D$35="","",'Raw Data'!$D$35)</f>
        <v>We're all mad here</v>
      </c>
      <c r="I48" s="23" t="str">
        <f t="shared" si="1"/>
        <v>W</v>
      </c>
      <c r="J48" s="23">
        <f t="shared" si="2"/>
        <v>7</v>
      </c>
      <c r="K48" s="23" t="str">
        <f t="shared" si="3"/>
        <v>L</v>
      </c>
      <c r="L48" s="25">
        <f t="shared" si="4"/>
        <v>20.419999999999987</v>
      </c>
    </row>
    <row r="49" spans="1:12" x14ac:dyDescent="0.2">
      <c r="A49" s="23">
        <v>4</v>
      </c>
      <c r="B49" s="24" t="str">
        <f>IF('Raw Data'!$D$55="","",'Raw Data'!$D$55)</f>
        <v>Stupid Smartass Psycho</v>
      </c>
      <c r="C49" s="45" t="str">
        <f>IF(B49="","",_xlfn.XLOOKUP(B49,'Raw Data'!$P$3:$P$16,'Raw Data'!$Q$3:$Q$16,0,0,1))</f>
        <v>Nate</v>
      </c>
      <c r="D49" s="25">
        <f>IF('Raw Data'!$D$52="","",'Raw Data'!$D$52)</f>
        <v>126.87</v>
      </c>
      <c r="E49" s="18" t="s">
        <v>1</v>
      </c>
      <c r="F49" s="25">
        <f>IF('Raw Data'!$D$49="","",'Raw Data'!$D$49)</f>
        <v>102.05</v>
      </c>
      <c r="G49" s="45" t="str">
        <f>IF(H49="","",_xlfn.XLOOKUP(H49,'Raw Data'!$P$3:$P$16,'Raw Data'!$Q$3:$Q$16,0,0,1))</f>
        <v>Justin</v>
      </c>
      <c r="H49" s="27" t="str">
        <f>IF('Raw Data'!$D$46="","",'Raw Data'!$D$46)</f>
        <v>The Goob Troop</v>
      </c>
      <c r="I49" s="23" t="str">
        <f t="shared" si="1"/>
        <v>W</v>
      </c>
      <c r="J49" s="23">
        <f t="shared" si="2"/>
        <v>8</v>
      </c>
      <c r="K49" s="23" t="str">
        <f t="shared" si="3"/>
        <v>L</v>
      </c>
      <c r="L49" s="25">
        <f t="shared" si="4"/>
        <v>24.820000000000007</v>
      </c>
    </row>
    <row r="50" spans="1:12" x14ac:dyDescent="0.2">
      <c r="A50" s="23">
        <v>4</v>
      </c>
      <c r="B50" s="24" t="str">
        <f>IF('Raw Data'!$D$66="","",'Raw Data'!$D$66)</f>
        <v>The Rescuers vs Medusa</v>
      </c>
      <c r="C50" s="45" t="str">
        <f>IF(B50="","",_xlfn.XLOOKUP(B50,'Raw Data'!$P$3:$P$16,'Raw Data'!$Q$3:$Q$16,0,0,1))</f>
        <v>Eddie</v>
      </c>
      <c r="D50" s="25">
        <f>IF('Raw Data'!$D$63="","",'Raw Data'!$D$63)</f>
        <v>99.91</v>
      </c>
      <c r="E50" s="18" t="s">
        <v>1</v>
      </c>
      <c r="F50" s="25">
        <f>IF('Raw Data'!$D$60="","",'Raw Data'!$D$60)</f>
        <v>106.53</v>
      </c>
      <c r="G50" s="45" t="str">
        <f>IF(H50="","",_xlfn.XLOOKUP(H50,'Raw Data'!$P$3:$P$16,'Raw Data'!$Q$3:$Q$16,0,0,1))</f>
        <v>Tom</v>
      </c>
      <c r="H50" s="27" t="str">
        <f>IF('Raw Data'!$D$57="","",'Raw Data'!$D$57)</f>
        <v>Wrong Lever!</v>
      </c>
      <c r="I50" s="23" t="str">
        <f t="shared" si="1"/>
        <v>L</v>
      </c>
      <c r="J50" s="23">
        <f t="shared" si="2"/>
        <v>12</v>
      </c>
      <c r="K50" s="23" t="str">
        <f t="shared" si="3"/>
        <v>L</v>
      </c>
      <c r="L50" s="25">
        <f t="shared" si="4"/>
        <v>-6.6200000000000045</v>
      </c>
    </row>
    <row r="51" spans="1:12" x14ac:dyDescent="0.2">
      <c r="A51" s="23">
        <v>5</v>
      </c>
      <c r="B51" s="24" t="str">
        <f>IF('Raw Data'!$E$2="","",'Raw Data'!$E$2)</f>
        <v>SqueakSqueakinSqueakSqueakity</v>
      </c>
      <c r="C51" s="45" t="str">
        <f>IF(B51="","",_xlfn.XLOOKUP(B51,'Raw Data'!$P$3:$P$16,'Raw Data'!$Q$3:$Q$16,0,0,1))</f>
        <v>Dave</v>
      </c>
      <c r="D51" s="25">
        <f>IF('Raw Data'!$E$5="","",'Raw Data'!$E$5)</f>
        <v>137.22</v>
      </c>
      <c r="E51" s="18" t="s">
        <v>1</v>
      </c>
      <c r="F51" s="25">
        <f>IF('Raw Data'!$E$8="","",'Raw Data'!$E$8)</f>
        <v>132.61000000000001</v>
      </c>
      <c r="G51" s="45" t="str">
        <f>IF(H51="","",_xlfn.XLOOKUP(H51,'Raw Data'!$P$3:$P$16,'Raw Data'!$Q$3:$Q$16,0,0,1))</f>
        <v>Steve</v>
      </c>
      <c r="H51" s="26" t="str">
        <f>IF('Raw Data'!$E$11="","",'Raw Data'!$E$11)</f>
        <v>5 Dozen Eggs by Gaston</v>
      </c>
      <c r="I51" s="23" t="str">
        <f t="shared" si="1"/>
        <v>W</v>
      </c>
      <c r="J51" s="23">
        <f t="shared" si="2"/>
        <v>6</v>
      </c>
      <c r="K51" s="23" t="str">
        <f t="shared" si="3"/>
        <v>W</v>
      </c>
      <c r="L51" s="25">
        <f t="shared" si="4"/>
        <v>4.6099999999999852</v>
      </c>
    </row>
    <row r="52" spans="1:12" x14ac:dyDescent="0.2">
      <c r="A52" s="23">
        <v>5</v>
      </c>
      <c r="B52" s="24" t="str">
        <f>IF('Raw Data'!$E$13="","",'Raw Data'!$E$13)</f>
        <v>Prince Abooboo</v>
      </c>
      <c r="C52" s="45" t="str">
        <f>IF(B52="","",_xlfn.XLOOKUP(B52,'Raw Data'!$P$3:$P$16,'Raw Data'!$Q$3:$Q$16,0,0,1))</f>
        <v>Stefan</v>
      </c>
      <c r="D52" s="25">
        <f>IF('Raw Data'!$E$16="","",'Raw Data'!$E$16)</f>
        <v>163.29</v>
      </c>
      <c r="E52" s="18" t="s">
        <v>1</v>
      </c>
      <c r="F52" s="25">
        <f>IF('Raw Data'!$E$19="","",'Raw Data'!$E$19)</f>
        <v>156.13</v>
      </c>
      <c r="G52" s="45" t="str">
        <f>IF(H52="","",_xlfn.XLOOKUP(H52,'Raw Data'!$P$3:$P$16,'Raw Data'!$Q$3:$Q$16,0,0,1))</f>
        <v>Rico</v>
      </c>
      <c r="H52" s="26" t="str">
        <f>IF('Raw Data'!$E$22="","",'Raw Data'!$E$22)</f>
        <v>We're all mad here</v>
      </c>
      <c r="I52" s="23" t="str">
        <f t="shared" si="1"/>
        <v>W</v>
      </c>
      <c r="J52" s="23">
        <f t="shared" si="2"/>
        <v>1</v>
      </c>
      <c r="K52" s="23" t="str">
        <f t="shared" si="3"/>
        <v>W</v>
      </c>
      <c r="L52" s="25">
        <f t="shared" si="4"/>
        <v>7.1599999999999966</v>
      </c>
    </row>
    <row r="53" spans="1:12" x14ac:dyDescent="0.2">
      <c r="A53" s="23">
        <v>5</v>
      </c>
      <c r="B53" s="24" t="str">
        <f>IF('Raw Data'!$E$24="","",'Raw Data'!$E$24)</f>
        <v>Jafar</v>
      </c>
      <c r="C53" s="45" t="str">
        <f>IF(B53="","",_xlfn.XLOOKUP(B53,'Raw Data'!$P$3:$P$16,'Raw Data'!$Q$3:$Q$16,0,0,1))</f>
        <v>Beau</v>
      </c>
      <c r="D53" s="25">
        <f>IF('Raw Data'!$E$27="","",'Raw Data'!$E$27)</f>
        <v>146.94999999999999</v>
      </c>
      <c r="E53" s="18" t="s">
        <v>1</v>
      </c>
      <c r="F53" s="25">
        <f>IF('Raw Data'!$E$30="","",'Raw Data'!$E$30)</f>
        <v>94.83</v>
      </c>
      <c r="G53" s="45" t="str">
        <f>IF(H53="","",_xlfn.XLOOKUP(H53,'Raw Data'!$P$3:$P$16,'Raw Data'!$Q$3:$Q$16,0,0,1))</f>
        <v>Tom</v>
      </c>
      <c r="H53" s="26" t="str">
        <f>IF('Raw Data'!$E$33="","",'Raw Data'!$E$33)</f>
        <v>Wrong Lever!</v>
      </c>
      <c r="I53" s="23" t="str">
        <f t="shared" si="1"/>
        <v>W</v>
      </c>
      <c r="J53" s="23">
        <f t="shared" si="2"/>
        <v>5</v>
      </c>
      <c r="K53" s="23" t="str">
        <f t="shared" si="3"/>
        <v>W</v>
      </c>
      <c r="L53" s="25">
        <f t="shared" si="4"/>
        <v>52.11999999999999</v>
      </c>
    </row>
    <row r="54" spans="1:12" x14ac:dyDescent="0.2">
      <c r="A54" s="23">
        <v>5</v>
      </c>
      <c r="B54" s="24" t="str">
        <f>IF('Raw Data'!$E$35="","",'Raw Data'!$E$35)</f>
        <v>The Goob Troop</v>
      </c>
      <c r="C54" s="45" t="str">
        <f>IF(B54="","",_xlfn.XLOOKUP(B54,'Raw Data'!$P$3:$P$16,'Raw Data'!$Q$3:$Q$16,0,0,1))</f>
        <v>Justin</v>
      </c>
      <c r="D54" s="25">
        <f>IF('Raw Data'!$E$38="","",'Raw Data'!$E$38)</f>
        <v>126.21</v>
      </c>
      <c r="E54" s="18" t="s">
        <v>1</v>
      </c>
      <c r="F54" s="25">
        <f>IF('Raw Data'!$E$41="","",'Raw Data'!$E$41)</f>
        <v>133.47</v>
      </c>
      <c r="G54" s="45" t="str">
        <f>IF(H54="","",_xlfn.XLOOKUP(H54,'Raw Data'!$P$3:$P$16,'Raw Data'!$Q$3:$Q$16,0,0,1))</f>
        <v>Ian</v>
      </c>
      <c r="H54" s="26" t="str">
        <f>IF('Raw Data'!$E$44="","",'Raw Data'!$E$44)</f>
        <v>Aladdin Jazerra</v>
      </c>
      <c r="I54" s="23" t="str">
        <f t="shared" si="1"/>
        <v>L</v>
      </c>
      <c r="J54" s="23">
        <f t="shared" si="2"/>
        <v>9</v>
      </c>
      <c r="K54" s="23" t="str">
        <f t="shared" si="3"/>
        <v>L</v>
      </c>
      <c r="L54" s="25">
        <f t="shared" si="4"/>
        <v>-7.2600000000000051</v>
      </c>
    </row>
    <row r="55" spans="1:12" x14ac:dyDescent="0.2">
      <c r="A55" s="23">
        <v>5</v>
      </c>
      <c r="B55" s="24" t="str">
        <f>IF('Raw Data'!$E$46="","",'Raw Data'!$E$46)</f>
        <v>Tick Tock the Crocodile</v>
      </c>
      <c r="C55" s="45" t="str">
        <f>IF(B55="","",_xlfn.XLOOKUP(B55,'Raw Data'!$P$3:$P$16,'Raw Data'!$Q$3:$Q$16,0,0,1))</f>
        <v>Jared</v>
      </c>
      <c r="D55" s="25">
        <f>IF('Raw Data'!$E$49="","",'Raw Data'!$E$49)</f>
        <v>96.33</v>
      </c>
      <c r="E55" s="18" t="s">
        <v>1</v>
      </c>
      <c r="F55" s="25">
        <f>IF('Raw Data'!$E$52="","",'Raw Data'!$E$52)</f>
        <v>114.8</v>
      </c>
      <c r="G55" s="45" t="str">
        <f>IF(H55="","",_xlfn.XLOOKUP(H55,'Raw Data'!$P$3:$P$16,'Raw Data'!$Q$3:$Q$16,0,0,1))</f>
        <v>Nate</v>
      </c>
      <c r="H55" s="26" t="str">
        <f>IF('Raw Data'!$E$55="","",'Raw Data'!$E$55)</f>
        <v>Stupid Smartass Psycho</v>
      </c>
      <c r="I55" s="23" t="str">
        <f t="shared" si="1"/>
        <v>L</v>
      </c>
      <c r="J55" s="23">
        <f t="shared" si="2"/>
        <v>11</v>
      </c>
      <c r="K55" s="23" t="str">
        <f t="shared" si="3"/>
        <v>L</v>
      </c>
      <c r="L55" s="25">
        <f t="shared" si="4"/>
        <v>-18.47</v>
      </c>
    </row>
    <row r="56" spans="1:12" x14ac:dyDescent="0.2">
      <c r="A56" s="23">
        <v>5</v>
      </c>
      <c r="B56" s="24" t="str">
        <f>IF('Raw Data'!$E$57="","",'Raw Data'!$E$57)</f>
        <v>Herbie's Honkers</v>
      </c>
      <c r="C56" s="45" t="str">
        <f>IF(B56="","",_xlfn.XLOOKUP(B56,'Raw Data'!$P$3:$P$16,'Raw Data'!$Q$3:$Q$16,0,0,1))</f>
        <v>Dylan</v>
      </c>
      <c r="D56" s="25">
        <f>IF('Raw Data'!$E$60="","",'Raw Data'!$E$60)</f>
        <v>160.69</v>
      </c>
      <c r="E56" s="18" t="s">
        <v>1</v>
      </c>
      <c r="F56" s="25">
        <f>IF('Raw Data'!$E$63="","",'Raw Data'!$E$63)</f>
        <v>147.25</v>
      </c>
      <c r="G56" s="45" t="str">
        <f>IF(H56="","",_xlfn.XLOOKUP(H56,'Raw Data'!$P$3:$P$16,'Raw Data'!$Q$3:$Q$16,0,0,1))</f>
        <v>Eddie</v>
      </c>
      <c r="H56" s="26" t="str">
        <f>IF('Raw Data'!$E$66="","",'Raw Data'!$E$66)</f>
        <v>The Rescuers vs Medusa</v>
      </c>
      <c r="I56" s="23" t="str">
        <f t="shared" si="1"/>
        <v>W</v>
      </c>
      <c r="J56" s="23">
        <f t="shared" si="2"/>
        <v>2</v>
      </c>
      <c r="K56" s="23" t="str">
        <f t="shared" si="3"/>
        <v>W</v>
      </c>
      <c r="L56" s="25">
        <f t="shared" si="4"/>
        <v>13.439999999999998</v>
      </c>
    </row>
    <row r="57" spans="1:12" x14ac:dyDescent="0.2">
      <c r="A57" s="23">
        <v>5</v>
      </c>
      <c r="B57" s="24" t="str">
        <f>IF('Raw Data'!$E$11="","",'Raw Data'!$E$11)</f>
        <v>5 Dozen Eggs by Gaston</v>
      </c>
      <c r="C57" s="45" t="str">
        <f>IF(B57="","",_xlfn.XLOOKUP(B57,'Raw Data'!$P$3:$P$16,'Raw Data'!$Q$3:$Q$16,0,0,1))</f>
        <v>Steve</v>
      </c>
      <c r="D57" s="25">
        <f>IF('Raw Data'!$E$8="","",'Raw Data'!$E$8)</f>
        <v>132.61000000000001</v>
      </c>
      <c r="E57" s="18" t="s">
        <v>1</v>
      </c>
      <c r="F57" s="25">
        <f>IF('Raw Data'!$E$5="","",'Raw Data'!$E$5)</f>
        <v>137.22</v>
      </c>
      <c r="G57" s="45" t="str">
        <f>IF(H57="","",_xlfn.XLOOKUP(H57,'Raw Data'!$P$3:$P$16,'Raw Data'!$Q$3:$Q$16,0,0,1))</f>
        <v>Dave</v>
      </c>
      <c r="H57" s="27" t="str">
        <f>IF('Raw Data'!$E$2="","",'Raw Data'!$E$2)</f>
        <v>SqueakSqueakinSqueakSqueakity</v>
      </c>
      <c r="I57" s="23" t="str">
        <f t="shared" si="1"/>
        <v>L</v>
      </c>
      <c r="J57" s="23">
        <f t="shared" si="2"/>
        <v>8</v>
      </c>
      <c r="K57" s="23" t="str">
        <f t="shared" si="3"/>
        <v>L</v>
      </c>
      <c r="L57" s="25">
        <f t="shared" si="4"/>
        <v>-4.6099999999999852</v>
      </c>
    </row>
    <row r="58" spans="1:12" x14ac:dyDescent="0.2">
      <c r="A58" s="23">
        <v>5</v>
      </c>
      <c r="B58" s="24" t="str">
        <f>IF('Raw Data'!$E$22="","",'Raw Data'!$E$22)</f>
        <v>We're all mad here</v>
      </c>
      <c r="C58" s="45" t="str">
        <f>IF(B58="","",_xlfn.XLOOKUP(B58,'Raw Data'!$P$3:$P$16,'Raw Data'!$Q$3:$Q$16,0,0,1))</f>
        <v>Rico</v>
      </c>
      <c r="D58" s="25">
        <f>IF('Raw Data'!$E$19="","",'Raw Data'!$E$19)</f>
        <v>156.13</v>
      </c>
      <c r="E58" s="18" t="s">
        <v>1</v>
      </c>
      <c r="F58" s="25">
        <f>IF('Raw Data'!$E$16="","",'Raw Data'!$E$16)</f>
        <v>163.29</v>
      </c>
      <c r="G58" s="45" t="str">
        <f>IF(H58="","",_xlfn.XLOOKUP(H58,'Raw Data'!$P$3:$P$16,'Raw Data'!$Q$3:$Q$16,0,0,1))</f>
        <v>Stefan</v>
      </c>
      <c r="H58" s="27" t="str">
        <f>IF('Raw Data'!$E$13="","",'Raw Data'!$E$13)</f>
        <v>Prince Abooboo</v>
      </c>
      <c r="I58" s="23" t="str">
        <f t="shared" si="1"/>
        <v>L</v>
      </c>
      <c r="J58" s="23">
        <f t="shared" si="2"/>
        <v>3</v>
      </c>
      <c r="K58" s="23" t="str">
        <f t="shared" si="3"/>
        <v>W</v>
      </c>
      <c r="L58" s="25">
        <f t="shared" si="4"/>
        <v>-7.1599999999999966</v>
      </c>
    </row>
    <row r="59" spans="1:12" x14ac:dyDescent="0.2">
      <c r="A59" s="23">
        <v>5</v>
      </c>
      <c r="B59" s="24" t="str">
        <f>IF('Raw Data'!$E$33="","",'Raw Data'!$E$33)</f>
        <v>Wrong Lever!</v>
      </c>
      <c r="C59" s="45" t="str">
        <f>IF(B59="","",_xlfn.XLOOKUP(B59,'Raw Data'!$P$3:$P$16,'Raw Data'!$Q$3:$Q$16,0,0,1))</f>
        <v>Tom</v>
      </c>
      <c r="D59" s="25">
        <f>IF('Raw Data'!$E$30="","",'Raw Data'!$E$30)</f>
        <v>94.83</v>
      </c>
      <c r="E59" s="18" t="s">
        <v>1</v>
      </c>
      <c r="F59" s="25">
        <f>IF('Raw Data'!$E$27="","",'Raw Data'!$E$27)</f>
        <v>146.94999999999999</v>
      </c>
      <c r="G59" s="45" t="str">
        <f>IF(H59="","",_xlfn.XLOOKUP(H59,'Raw Data'!$P$3:$P$16,'Raw Data'!$Q$3:$Q$16,0,0,1))</f>
        <v>Beau</v>
      </c>
      <c r="H59" s="27" t="str">
        <f>IF('Raw Data'!$E$24="","",'Raw Data'!$E$24)</f>
        <v>Jafar</v>
      </c>
      <c r="I59" s="23" t="str">
        <f t="shared" si="1"/>
        <v>L</v>
      </c>
      <c r="J59" s="23">
        <f t="shared" si="2"/>
        <v>12</v>
      </c>
      <c r="K59" s="23" t="str">
        <f t="shared" si="3"/>
        <v>L</v>
      </c>
      <c r="L59" s="25">
        <f t="shared" si="4"/>
        <v>-52.11999999999999</v>
      </c>
    </row>
    <row r="60" spans="1:12" x14ac:dyDescent="0.2">
      <c r="A60" s="23">
        <v>5</v>
      </c>
      <c r="B60" s="24" t="str">
        <f>IF('Raw Data'!$E$44="","",'Raw Data'!$E$44)</f>
        <v>Aladdin Jazerra</v>
      </c>
      <c r="C60" s="45" t="str">
        <f>IF(B60="","",_xlfn.XLOOKUP(B60,'Raw Data'!$P$3:$P$16,'Raw Data'!$Q$3:$Q$16,0,0,1))</f>
        <v>Ian</v>
      </c>
      <c r="D60" s="25">
        <f>IF('Raw Data'!$E$41="","",'Raw Data'!$E$41)</f>
        <v>133.47</v>
      </c>
      <c r="E60" s="18" t="s">
        <v>1</v>
      </c>
      <c r="F60" s="25">
        <f>IF('Raw Data'!$E$38="","",'Raw Data'!$E$38)</f>
        <v>126.21</v>
      </c>
      <c r="G60" s="45" t="str">
        <f>IF(H60="","",_xlfn.XLOOKUP(H60,'Raw Data'!$P$3:$P$16,'Raw Data'!$Q$3:$Q$16,0,0,1))</f>
        <v>Justin</v>
      </c>
      <c r="H60" s="27" t="str">
        <f>IF('Raw Data'!$E$35="","",'Raw Data'!$E$35)</f>
        <v>The Goob Troop</v>
      </c>
      <c r="I60" s="23" t="str">
        <f t="shared" si="1"/>
        <v>W</v>
      </c>
      <c r="J60" s="23">
        <f t="shared" si="2"/>
        <v>7</v>
      </c>
      <c r="K60" s="23" t="str">
        <f t="shared" si="3"/>
        <v>L</v>
      </c>
      <c r="L60" s="25">
        <f t="shared" si="4"/>
        <v>7.2600000000000051</v>
      </c>
    </row>
    <row r="61" spans="1:12" x14ac:dyDescent="0.2">
      <c r="A61" s="23">
        <v>5</v>
      </c>
      <c r="B61" s="24" t="str">
        <f>IF('Raw Data'!$E$55="","",'Raw Data'!$E$55)</f>
        <v>Stupid Smartass Psycho</v>
      </c>
      <c r="C61" s="45" t="str">
        <f>IF(B61="","",_xlfn.XLOOKUP(B61,'Raw Data'!$P$3:$P$16,'Raw Data'!$Q$3:$Q$16,0,0,1))</f>
        <v>Nate</v>
      </c>
      <c r="D61" s="25">
        <f>IF('Raw Data'!$E$52="","",'Raw Data'!$E$52)</f>
        <v>114.8</v>
      </c>
      <c r="E61" s="18" t="s">
        <v>1</v>
      </c>
      <c r="F61" s="25">
        <f>IF('Raw Data'!$E$49="","",'Raw Data'!$E$49)</f>
        <v>96.33</v>
      </c>
      <c r="G61" s="45" t="str">
        <f>IF(H61="","",_xlfn.XLOOKUP(H61,'Raw Data'!$P$3:$P$16,'Raw Data'!$Q$3:$Q$16,0,0,1))</f>
        <v>Jared</v>
      </c>
      <c r="H61" s="27" t="str">
        <f>IF('Raw Data'!$E$46="","",'Raw Data'!$E$46)</f>
        <v>Tick Tock the Crocodile</v>
      </c>
      <c r="I61" s="23" t="str">
        <f t="shared" si="1"/>
        <v>W</v>
      </c>
      <c r="J61" s="23">
        <f t="shared" si="2"/>
        <v>10</v>
      </c>
      <c r="K61" s="23" t="str">
        <f t="shared" si="3"/>
        <v>L</v>
      </c>
      <c r="L61" s="25">
        <f t="shared" si="4"/>
        <v>18.47</v>
      </c>
    </row>
    <row r="62" spans="1:12" x14ac:dyDescent="0.2">
      <c r="A62" s="23">
        <v>5</v>
      </c>
      <c r="B62" s="24" t="str">
        <f>IF('Raw Data'!$E$66="","",'Raw Data'!$E$66)</f>
        <v>The Rescuers vs Medusa</v>
      </c>
      <c r="C62" s="45" t="str">
        <f>IF(B62="","",_xlfn.XLOOKUP(B62,'Raw Data'!$P$3:$P$16,'Raw Data'!$Q$3:$Q$16,0,0,1))</f>
        <v>Eddie</v>
      </c>
      <c r="D62" s="25">
        <f>IF('Raw Data'!$E$63="","",'Raw Data'!$E$63)</f>
        <v>147.25</v>
      </c>
      <c r="E62" s="18" t="s">
        <v>1</v>
      </c>
      <c r="F62" s="25">
        <f>IF('Raw Data'!$E$60="","",'Raw Data'!$E$60)</f>
        <v>160.69</v>
      </c>
      <c r="G62" s="45" t="str">
        <f>IF(H62="","",_xlfn.XLOOKUP(H62,'Raw Data'!$P$3:$P$16,'Raw Data'!$Q$3:$Q$16,0,0,1))</f>
        <v>Dylan</v>
      </c>
      <c r="H62" s="27" t="str">
        <f>IF('Raw Data'!$E$57="","",'Raw Data'!$E$57)</f>
        <v>Herbie's Honkers</v>
      </c>
      <c r="I62" s="23" t="str">
        <f t="shared" si="1"/>
        <v>L</v>
      </c>
      <c r="J62" s="23">
        <f t="shared" si="2"/>
        <v>4</v>
      </c>
      <c r="K62" s="23" t="str">
        <f t="shared" si="3"/>
        <v>W</v>
      </c>
      <c r="L62" s="25">
        <f t="shared" si="4"/>
        <v>-13.439999999999998</v>
      </c>
    </row>
    <row r="63" spans="1:12" x14ac:dyDescent="0.2">
      <c r="A63" s="23">
        <v>6</v>
      </c>
      <c r="B63" s="24" t="str">
        <f>IF('Raw Data'!$F$2="","",'Raw Data'!$F$2)</f>
        <v>SqueakSqueakinSqueakSqueakity</v>
      </c>
      <c r="C63" s="45" t="str">
        <f>IF(B63="","",_xlfn.XLOOKUP(B63,'Raw Data'!$P$3:$P$16,'Raw Data'!$Q$3:$Q$16,0,0,1))</f>
        <v>Dave</v>
      </c>
      <c r="D63" s="25">
        <f>IF('Raw Data'!$F$5="","",'Raw Data'!$F$5)</f>
        <v>123</v>
      </c>
      <c r="E63" s="18" t="s">
        <v>1</v>
      </c>
      <c r="F63" s="25">
        <f>IF('Raw Data'!$F$8="","",'Raw Data'!$F$8)</f>
        <v>93.09</v>
      </c>
      <c r="G63" s="45" t="str">
        <f>IF(H63="","",_xlfn.XLOOKUP(H63,'Raw Data'!$P$3:$P$16,'Raw Data'!$Q$3:$Q$16,0,0,1))</f>
        <v>Tom</v>
      </c>
      <c r="H63" s="26" t="str">
        <f>IF('Raw Data'!$F$11="","",'Raw Data'!$F$11)</f>
        <v>Wrong Lever!</v>
      </c>
      <c r="I63" s="23" t="str">
        <f t="shared" si="1"/>
        <v>W</v>
      </c>
      <c r="J63" s="23">
        <f t="shared" si="2"/>
        <v>6</v>
      </c>
      <c r="K63" s="23" t="str">
        <f t="shared" si="3"/>
        <v>W</v>
      </c>
      <c r="L63" s="25">
        <f t="shared" si="4"/>
        <v>29.909999999999997</v>
      </c>
    </row>
    <row r="64" spans="1:12" x14ac:dyDescent="0.2">
      <c r="A64" s="23">
        <v>6</v>
      </c>
      <c r="B64" s="24" t="str">
        <f>IF('Raw Data'!$F$13="","",'Raw Data'!$F$13)</f>
        <v>Prince Abooboo</v>
      </c>
      <c r="C64" s="45" t="str">
        <f>IF(B64="","",_xlfn.XLOOKUP(B64,'Raw Data'!$P$3:$P$16,'Raw Data'!$Q$3:$Q$16,0,0,1))</f>
        <v>Stefan</v>
      </c>
      <c r="D64" s="25">
        <f>IF('Raw Data'!$F$16="","",'Raw Data'!$F$16)</f>
        <v>117.31</v>
      </c>
      <c r="E64" s="18" t="s">
        <v>1</v>
      </c>
      <c r="F64" s="25">
        <f>IF('Raw Data'!$F$19="","",'Raw Data'!$F$19)</f>
        <v>130.22</v>
      </c>
      <c r="G64" s="45" t="str">
        <f>IF(H64="","",_xlfn.XLOOKUP(H64,'Raw Data'!$P$3:$P$16,'Raw Data'!$Q$3:$Q$16,0,0,1))</f>
        <v>Beau</v>
      </c>
      <c r="H64" s="26" t="str">
        <f>IF('Raw Data'!$F$22="","",'Raw Data'!$F$22)</f>
        <v>Jafar</v>
      </c>
      <c r="I64" s="23" t="str">
        <f t="shared" si="1"/>
        <v>L</v>
      </c>
      <c r="J64" s="23">
        <f t="shared" si="2"/>
        <v>9</v>
      </c>
      <c r="K64" s="23" t="str">
        <f t="shared" si="3"/>
        <v>L</v>
      </c>
      <c r="L64" s="25">
        <f t="shared" si="4"/>
        <v>-12.909999999999997</v>
      </c>
    </row>
    <row r="65" spans="1:12" x14ac:dyDescent="0.2">
      <c r="A65" s="23">
        <v>6</v>
      </c>
      <c r="B65" s="24" t="str">
        <f>IF('Raw Data'!$F$24="","",'Raw Data'!$F$24)</f>
        <v>We're all mad here</v>
      </c>
      <c r="C65" s="45" t="str">
        <f>IF(B65="","",_xlfn.XLOOKUP(B65,'Raw Data'!$P$3:$P$16,'Raw Data'!$Q$3:$Q$16,0,0,1))</f>
        <v>Rico</v>
      </c>
      <c r="D65" s="25">
        <f>IF('Raw Data'!$F$27="","",'Raw Data'!$F$27)</f>
        <v>121.17</v>
      </c>
      <c r="E65" s="18" t="s">
        <v>1</v>
      </c>
      <c r="F65" s="25">
        <f>IF('Raw Data'!$F$30="","",'Raw Data'!$F$30)</f>
        <v>109.06</v>
      </c>
      <c r="G65" s="45" t="str">
        <f>IF(H65="","",_xlfn.XLOOKUP(H65,'Raw Data'!$P$3:$P$16,'Raw Data'!$Q$3:$Q$16,0,0,1))</f>
        <v>Justin</v>
      </c>
      <c r="H65" s="26" t="str">
        <f>IF('Raw Data'!$F$33="","",'Raw Data'!$F$33)</f>
        <v>The Goob Troop</v>
      </c>
      <c r="I65" s="23" t="str">
        <f t="shared" si="1"/>
        <v>W</v>
      </c>
      <c r="J65" s="23">
        <f t="shared" si="2"/>
        <v>7</v>
      </c>
      <c r="K65" s="23" t="str">
        <f t="shared" si="3"/>
        <v>L</v>
      </c>
      <c r="L65" s="25">
        <f t="shared" si="4"/>
        <v>12.11</v>
      </c>
    </row>
    <row r="66" spans="1:12" x14ac:dyDescent="0.2">
      <c r="A66" s="23">
        <v>6</v>
      </c>
      <c r="B66" s="24" t="str">
        <f>IF('Raw Data'!$F$35="","",'Raw Data'!$F$35)</f>
        <v>Tick Tock the Crocodile</v>
      </c>
      <c r="C66" s="45" t="str">
        <f>IF(B66="","",_xlfn.XLOOKUP(B66,'Raw Data'!$P$3:$P$16,'Raw Data'!$Q$3:$Q$16,0,0,1))</f>
        <v>Jared</v>
      </c>
      <c r="D66" s="25">
        <f>IF('Raw Data'!$F$38="","",'Raw Data'!$F$38)</f>
        <v>123.2</v>
      </c>
      <c r="E66" s="18" t="s">
        <v>1</v>
      </c>
      <c r="F66" s="25">
        <f>IF('Raw Data'!$F$41="","",'Raw Data'!$F$41)</f>
        <v>126.31</v>
      </c>
      <c r="G66" s="45" t="str">
        <f>IF(H66="","",_xlfn.XLOOKUP(H66,'Raw Data'!$P$3:$P$16,'Raw Data'!$Q$3:$Q$16,0,0,1))</f>
        <v>Dylan</v>
      </c>
      <c r="H66" s="26" t="str">
        <f>IF('Raw Data'!$F$44="","",'Raw Data'!$F$44)</f>
        <v>Herbie's Honkers</v>
      </c>
      <c r="I66" s="23" t="str">
        <f t="shared" si="1"/>
        <v>L</v>
      </c>
      <c r="J66" s="23">
        <f t="shared" si="2"/>
        <v>5</v>
      </c>
      <c r="K66" s="23" t="str">
        <f t="shared" si="3"/>
        <v>W</v>
      </c>
      <c r="L66" s="25">
        <f t="shared" si="4"/>
        <v>-3.1099999999999994</v>
      </c>
    </row>
    <row r="67" spans="1:12" x14ac:dyDescent="0.2">
      <c r="A67" s="23">
        <v>6</v>
      </c>
      <c r="B67" s="24" t="str">
        <f>IF('Raw Data'!$F$46="","",'Raw Data'!$F$46)</f>
        <v>5 Dozen Eggs by Gaston</v>
      </c>
      <c r="C67" s="45" t="str">
        <f>IF(B67="","",_xlfn.XLOOKUP(B67,'Raw Data'!$P$3:$P$16,'Raw Data'!$Q$3:$Q$16,0,0,1))</f>
        <v>Steve</v>
      </c>
      <c r="D67" s="25">
        <f>IF('Raw Data'!$F$49="","",'Raw Data'!$F$49)</f>
        <v>152.11000000000001</v>
      </c>
      <c r="E67" s="18" t="s">
        <v>1</v>
      </c>
      <c r="F67" s="25">
        <f>IF('Raw Data'!$F$52="","",'Raw Data'!$F$52)</f>
        <v>102.73</v>
      </c>
      <c r="G67" s="45" t="str">
        <f>IF(H67="","",_xlfn.XLOOKUP(H67,'Raw Data'!$P$3:$P$16,'Raw Data'!$Q$3:$Q$16,0,0,1))</f>
        <v>Ian</v>
      </c>
      <c r="H67" s="26" t="str">
        <f>IF('Raw Data'!$F$55="","",'Raw Data'!$F$55)</f>
        <v>Aladdin Jazerra</v>
      </c>
      <c r="I67" s="23" t="str">
        <f t="shared" si="1"/>
        <v>W</v>
      </c>
      <c r="J67" s="23">
        <f t="shared" si="2"/>
        <v>1</v>
      </c>
      <c r="K67" s="23" t="str">
        <f t="shared" si="3"/>
        <v>W</v>
      </c>
      <c r="L67" s="25">
        <f t="shared" si="4"/>
        <v>49.38000000000001</v>
      </c>
    </row>
    <row r="68" spans="1:12" x14ac:dyDescent="0.2">
      <c r="A68" s="23">
        <v>6</v>
      </c>
      <c r="B68" s="24" t="str">
        <f>IF('Raw Data'!$F$57="","",'Raw Data'!$F$57)</f>
        <v>Stupid Smartass Psycho</v>
      </c>
      <c r="C68" s="45" t="str">
        <f>IF(B68="","",_xlfn.XLOOKUP(B68,'Raw Data'!$P$3:$P$16,'Raw Data'!$Q$3:$Q$16,0,0,1))</f>
        <v>Nate</v>
      </c>
      <c r="D68" s="25">
        <f>IF('Raw Data'!$F$60="","",'Raw Data'!$F$60)</f>
        <v>131.5</v>
      </c>
      <c r="E68" s="18" t="s">
        <v>1</v>
      </c>
      <c r="F68" s="25">
        <f>IF('Raw Data'!$F$63="","",'Raw Data'!$F$63)</f>
        <v>120.31</v>
      </c>
      <c r="G68" s="45" t="str">
        <f>IF(H68="","",_xlfn.XLOOKUP(H68,'Raw Data'!$P$3:$P$16,'Raw Data'!$Q$3:$Q$16,0,0,1))</f>
        <v>Eddie</v>
      </c>
      <c r="H68" s="26" t="str">
        <f>IF('Raw Data'!$F$66="","",'Raw Data'!$F$66)</f>
        <v>The Rescuers vs Medusa</v>
      </c>
      <c r="I68" s="23" t="str">
        <f t="shared" ref="I68:I131" si="7">IF(B68="","",IF(D68&gt;F68,"W",IF(F68&gt;D68,"L","T")))</f>
        <v>W</v>
      </c>
      <c r="J68" s="23">
        <f t="shared" ref="J68:J131" si="8">IF(B68="","",IF(A68&gt;14,"N/A",IF(B68="","",COUNTIFS($A$3:$A$173,$A68,$D$3:$D$173,"&gt;"&amp;D68)+1)))</f>
        <v>2</v>
      </c>
      <c r="K68" s="23" t="str">
        <f t="shared" ref="K68:K131" si="9">IF(B68="","",IF(A68&gt;14,"N/A",IF(J68&lt;7,"W","L")))</f>
        <v>W</v>
      </c>
      <c r="L68" s="25">
        <f t="shared" ref="L68:L131" si="10">IF(B68="","",IFERROR(D68-F68,""))</f>
        <v>11.189999999999998</v>
      </c>
    </row>
    <row r="69" spans="1:12" x14ac:dyDescent="0.2">
      <c r="A69" s="23">
        <v>6</v>
      </c>
      <c r="B69" s="24" t="str">
        <f>IF('Raw Data'!$F$11="","",'Raw Data'!$F$11)</f>
        <v>Wrong Lever!</v>
      </c>
      <c r="C69" s="45" t="str">
        <f>IF(B69="","",_xlfn.XLOOKUP(B69,'Raw Data'!$P$3:$P$16,'Raw Data'!$Q$3:$Q$16,0,0,1))</f>
        <v>Tom</v>
      </c>
      <c r="D69" s="25">
        <f>IF('Raw Data'!$F$8="","",'Raw Data'!$F$8)</f>
        <v>93.09</v>
      </c>
      <c r="E69" s="18" t="s">
        <v>1</v>
      </c>
      <c r="F69" s="25">
        <f>IF('Raw Data'!$F$5="","",'Raw Data'!$F$5)</f>
        <v>123</v>
      </c>
      <c r="G69" s="45" t="str">
        <f>IF(H69="","",_xlfn.XLOOKUP(H69,'Raw Data'!$P$3:$P$16,'Raw Data'!$Q$3:$Q$16,0,0,1))</f>
        <v>Dave</v>
      </c>
      <c r="H69" s="27" t="str">
        <f>IF('Raw Data'!$F$2="","",'Raw Data'!$F$2)</f>
        <v>SqueakSqueakinSqueakSqueakity</v>
      </c>
      <c r="I69" s="23" t="str">
        <f t="shared" si="7"/>
        <v>L</v>
      </c>
      <c r="J69" s="23">
        <f t="shared" si="8"/>
        <v>12</v>
      </c>
      <c r="K69" s="23" t="str">
        <f t="shared" si="9"/>
        <v>L</v>
      </c>
      <c r="L69" s="25">
        <f t="shared" si="10"/>
        <v>-29.909999999999997</v>
      </c>
    </row>
    <row r="70" spans="1:12" x14ac:dyDescent="0.2">
      <c r="A70" s="23">
        <v>6</v>
      </c>
      <c r="B70" s="24" t="str">
        <f>IF('Raw Data'!$F$22="","",'Raw Data'!$F$22)</f>
        <v>Jafar</v>
      </c>
      <c r="C70" s="45" t="str">
        <f>IF(B70="","",_xlfn.XLOOKUP(B70,'Raw Data'!$P$3:$P$16,'Raw Data'!$Q$3:$Q$16,0,0,1))</f>
        <v>Beau</v>
      </c>
      <c r="D70" s="25">
        <f>IF('Raw Data'!$F$19="","",'Raw Data'!$F$19)</f>
        <v>130.22</v>
      </c>
      <c r="E70" s="18" t="s">
        <v>1</v>
      </c>
      <c r="F70" s="25">
        <f>IF('Raw Data'!$F$16="","",'Raw Data'!$F$16)</f>
        <v>117.31</v>
      </c>
      <c r="G70" s="45" t="str">
        <f>IF(H70="","",_xlfn.XLOOKUP(H70,'Raw Data'!$P$3:$P$16,'Raw Data'!$Q$3:$Q$16,0,0,1))</f>
        <v>Stefan</v>
      </c>
      <c r="H70" s="27" t="str">
        <f>IF('Raw Data'!$F$13="","",'Raw Data'!$F$13)</f>
        <v>Prince Abooboo</v>
      </c>
      <c r="I70" s="23" t="str">
        <f t="shared" si="7"/>
        <v>W</v>
      </c>
      <c r="J70" s="23">
        <f t="shared" si="8"/>
        <v>3</v>
      </c>
      <c r="K70" s="23" t="str">
        <f t="shared" si="9"/>
        <v>W</v>
      </c>
      <c r="L70" s="25">
        <f t="shared" si="10"/>
        <v>12.909999999999997</v>
      </c>
    </row>
    <row r="71" spans="1:12" x14ac:dyDescent="0.2">
      <c r="A71" s="23">
        <v>6</v>
      </c>
      <c r="B71" s="24" t="str">
        <f>IF('Raw Data'!$F$33="","",'Raw Data'!$F$33)</f>
        <v>The Goob Troop</v>
      </c>
      <c r="C71" s="45" t="str">
        <f>IF(B71="","",_xlfn.XLOOKUP(B71,'Raw Data'!$P$3:$P$16,'Raw Data'!$Q$3:$Q$16,0,0,1))</f>
        <v>Justin</v>
      </c>
      <c r="D71" s="25">
        <f>IF('Raw Data'!$F$30="","",'Raw Data'!$F$30)</f>
        <v>109.06</v>
      </c>
      <c r="E71" s="18" t="s">
        <v>1</v>
      </c>
      <c r="F71" s="25">
        <f>IF('Raw Data'!$F$27="","",'Raw Data'!$F$27)</f>
        <v>121.17</v>
      </c>
      <c r="G71" s="45" t="str">
        <f>IF(H71="","",_xlfn.XLOOKUP(H71,'Raw Data'!$P$3:$P$16,'Raw Data'!$Q$3:$Q$16,0,0,1))</f>
        <v>Rico</v>
      </c>
      <c r="H71" s="27" t="str">
        <f>IF('Raw Data'!$F$24="","",'Raw Data'!$F$24)</f>
        <v>We're all mad here</v>
      </c>
      <c r="I71" s="23" t="str">
        <f t="shared" si="7"/>
        <v>L</v>
      </c>
      <c r="J71" s="23">
        <f t="shared" si="8"/>
        <v>10</v>
      </c>
      <c r="K71" s="23" t="str">
        <f t="shared" si="9"/>
        <v>L</v>
      </c>
      <c r="L71" s="25">
        <f t="shared" si="10"/>
        <v>-12.11</v>
      </c>
    </row>
    <row r="72" spans="1:12" x14ac:dyDescent="0.2">
      <c r="A72" s="23">
        <v>6</v>
      </c>
      <c r="B72" s="24" t="str">
        <f>IF('Raw Data'!$F$44="","",'Raw Data'!$F$44)</f>
        <v>Herbie's Honkers</v>
      </c>
      <c r="C72" s="45" t="str">
        <f>IF(B72="","",_xlfn.XLOOKUP(B72,'Raw Data'!$P$3:$P$16,'Raw Data'!$Q$3:$Q$16,0,0,1))</f>
        <v>Dylan</v>
      </c>
      <c r="D72" s="25">
        <f>IF('Raw Data'!$F$41="","",'Raw Data'!$F$41)</f>
        <v>126.31</v>
      </c>
      <c r="E72" s="18" t="s">
        <v>1</v>
      </c>
      <c r="F72" s="25">
        <f>IF('Raw Data'!$F$38="","",'Raw Data'!$F$38)</f>
        <v>123.2</v>
      </c>
      <c r="G72" s="45" t="str">
        <f>IF(H72="","",_xlfn.XLOOKUP(H72,'Raw Data'!$P$3:$P$16,'Raw Data'!$Q$3:$Q$16,0,0,1))</f>
        <v>Jared</v>
      </c>
      <c r="H72" s="27" t="str">
        <f>IF('Raw Data'!$F$35="","",'Raw Data'!$F$35)</f>
        <v>Tick Tock the Crocodile</v>
      </c>
      <c r="I72" s="23" t="str">
        <f t="shared" si="7"/>
        <v>W</v>
      </c>
      <c r="J72" s="23">
        <f t="shared" si="8"/>
        <v>4</v>
      </c>
      <c r="K72" s="23" t="str">
        <f t="shared" si="9"/>
        <v>W</v>
      </c>
      <c r="L72" s="25">
        <f t="shared" si="10"/>
        <v>3.1099999999999994</v>
      </c>
    </row>
    <row r="73" spans="1:12" x14ac:dyDescent="0.2">
      <c r="A73" s="23">
        <v>6</v>
      </c>
      <c r="B73" s="24" t="str">
        <f>IF('Raw Data'!$F$55="","",'Raw Data'!$F$55)</f>
        <v>Aladdin Jazerra</v>
      </c>
      <c r="C73" s="45" t="str">
        <f>IF(B73="","",_xlfn.XLOOKUP(B73,'Raw Data'!$P$3:$P$16,'Raw Data'!$Q$3:$Q$16,0,0,1))</f>
        <v>Ian</v>
      </c>
      <c r="D73" s="25">
        <f>IF('Raw Data'!$F$52="","",'Raw Data'!$F$52)</f>
        <v>102.73</v>
      </c>
      <c r="E73" s="18" t="s">
        <v>1</v>
      </c>
      <c r="F73" s="25">
        <f>IF('Raw Data'!$F$49="","",'Raw Data'!$F$49)</f>
        <v>152.11000000000001</v>
      </c>
      <c r="G73" s="45" t="str">
        <f>IF(H73="","",_xlfn.XLOOKUP(H73,'Raw Data'!$P$3:$P$16,'Raw Data'!$Q$3:$Q$16,0,0,1))</f>
        <v>Steve</v>
      </c>
      <c r="H73" s="27" t="str">
        <f>IF('Raw Data'!$F$46="","",'Raw Data'!$F$46)</f>
        <v>5 Dozen Eggs by Gaston</v>
      </c>
      <c r="I73" s="23" t="str">
        <f t="shared" si="7"/>
        <v>L</v>
      </c>
      <c r="J73" s="23">
        <f t="shared" si="8"/>
        <v>11</v>
      </c>
      <c r="K73" s="23" t="str">
        <f t="shared" si="9"/>
        <v>L</v>
      </c>
      <c r="L73" s="25">
        <f t="shared" si="10"/>
        <v>-49.38000000000001</v>
      </c>
    </row>
    <row r="74" spans="1:12" x14ac:dyDescent="0.2">
      <c r="A74" s="23">
        <v>6</v>
      </c>
      <c r="B74" s="24" t="str">
        <f>IF('Raw Data'!$F$66="","",'Raw Data'!$F$66)</f>
        <v>The Rescuers vs Medusa</v>
      </c>
      <c r="C74" s="45" t="str">
        <f>IF(B74="","",_xlfn.XLOOKUP(B74,'Raw Data'!$P$3:$P$16,'Raw Data'!$Q$3:$Q$16,0,0,1))</f>
        <v>Eddie</v>
      </c>
      <c r="D74" s="25">
        <f>IF('Raw Data'!$F$63="","",'Raw Data'!$F$63)</f>
        <v>120.31</v>
      </c>
      <c r="E74" s="18" t="s">
        <v>1</v>
      </c>
      <c r="F74" s="25">
        <f>IF('Raw Data'!$F$60="","",'Raw Data'!$F$60)</f>
        <v>131.5</v>
      </c>
      <c r="G74" s="45" t="str">
        <f>IF(H74="","",_xlfn.XLOOKUP(H74,'Raw Data'!$P$3:$P$16,'Raw Data'!$Q$3:$Q$16,0,0,1))</f>
        <v>Nate</v>
      </c>
      <c r="H74" s="27" t="str">
        <f>IF('Raw Data'!$F$57="","",'Raw Data'!$F$57)</f>
        <v>Stupid Smartass Psycho</v>
      </c>
      <c r="I74" s="23" t="str">
        <f t="shared" si="7"/>
        <v>L</v>
      </c>
      <c r="J74" s="23">
        <f t="shared" si="8"/>
        <v>8</v>
      </c>
      <c r="K74" s="23" t="str">
        <f t="shared" si="9"/>
        <v>L</v>
      </c>
      <c r="L74" s="25">
        <f t="shared" si="10"/>
        <v>-11.189999999999998</v>
      </c>
    </row>
    <row r="75" spans="1:12" x14ac:dyDescent="0.2">
      <c r="A75" s="23">
        <v>7</v>
      </c>
      <c r="B75" s="24" t="str">
        <f>IF('Raw Data'!$G$2="","",'Raw Data'!$G$2)</f>
        <v>SqueakSqueakinSqueakSqueakity</v>
      </c>
      <c r="C75" s="45" t="str">
        <f>IF(B75="","",_xlfn.XLOOKUP(B75,'Raw Data'!$P$3:$P$16,'Raw Data'!$Q$3:$Q$16,0,0,1))</f>
        <v>Dave</v>
      </c>
      <c r="D75" s="25">
        <f>IF('Raw Data'!$G$5="","",'Raw Data'!$G$5)</f>
        <v>111.53</v>
      </c>
      <c r="E75" s="18" t="s">
        <v>1</v>
      </c>
      <c r="F75" s="25">
        <f>IF('Raw Data'!$G$8="","",'Raw Data'!$G$8)</f>
        <v>153.44999999999999</v>
      </c>
      <c r="G75" s="45" t="str">
        <f>IF(H75="","",_xlfn.XLOOKUP(H75,'Raw Data'!$P$3:$P$16,'Raw Data'!$Q$3:$Q$16,0,0,1))</f>
        <v>Justin</v>
      </c>
      <c r="H75" s="26" t="str">
        <f>IF('Raw Data'!$G$11="","",'Raw Data'!$G$11)</f>
        <v>The Goob Troop</v>
      </c>
      <c r="I75" s="23" t="str">
        <f t="shared" si="7"/>
        <v>L</v>
      </c>
      <c r="J75" s="23">
        <f t="shared" si="8"/>
        <v>10</v>
      </c>
      <c r="K75" s="23" t="str">
        <f t="shared" si="9"/>
        <v>L</v>
      </c>
      <c r="L75" s="25">
        <f t="shared" si="10"/>
        <v>-41.919999999999987</v>
      </c>
    </row>
    <row r="76" spans="1:12" x14ac:dyDescent="0.2">
      <c r="A76" s="23">
        <v>7</v>
      </c>
      <c r="B76" s="24" t="str">
        <f>IF('Raw Data'!$G$13="","",'Raw Data'!$G$13)</f>
        <v>Prince Abooboo</v>
      </c>
      <c r="C76" s="45" t="str">
        <f>IF(B76="","",_xlfn.XLOOKUP(B76,'Raw Data'!$P$3:$P$16,'Raw Data'!$Q$3:$Q$16,0,0,1))</f>
        <v>Stefan</v>
      </c>
      <c r="D76" s="25">
        <f>IF('Raw Data'!$G$16="","",'Raw Data'!$G$16)</f>
        <v>79.88</v>
      </c>
      <c r="E76" s="18" t="s">
        <v>1</v>
      </c>
      <c r="F76" s="25">
        <f>IF('Raw Data'!$G$19="","",'Raw Data'!$G$19)</f>
        <v>101.41</v>
      </c>
      <c r="G76" s="45" t="str">
        <f>IF(H76="","",_xlfn.XLOOKUP(H76,'Raw Data'!$P$3:$P$16,'Raw Data'!$Q$3:$Q$16,0,0,1))</f>
        <v>Ian</v>
      </c>
      <c r="H76" s="26" t="str">
        <f>IF('Raw Data'!$G$22="","",'Raw Data'!$G$22)</f>
        <v>Aladdin Jazerra</v>
      </c>
      <c r="I76" s="23" t="str">
        <f t="shared" si="7"/>
        <v>L</v>
      </c>
      <c r="J76" s="23">
        <f t="shared" si="8"/>
        <v>12</v>
      </c>
      <c r="K76" s="23" t="str">
        <f t="shared" si="9"/>
        <v>L</v>
      </c>
      <c r="L76" s="25">
        <f t="shared" si="10"/>
        <v>-21.53</v>
      </c>
    </row>
    <row r="77" spans="1:12" x14ac:dyDescent="0.2">
      <c r="A77" s="23">
        <v>7</v>
      </c>
      <c r="B77" s="24" t="str">
        <f>IF('Raw Data'!$G$24="","",'Raw Data'!$G$24)</f>
        <v>Jafar</v>
      </c>
      <c r="C77" s="45" t="str">
        <f>IF(B77="","",_xlfn.XLOOKUP(B77,'Raw Data'!$P$3:$P$16,'Raw Data'!$Q$3:$Q$16,0,0,1))</f>
        <v>Beau</v>
      </c>
      <c r="D77" s="25">
        <f>IF('Raw Data'!$G$27="","",'Raw Data'!$G$27)</f>
        <v>156.84</v>
      </c>
      <c r="E77" s="18" t="s">
        <v>1</v>
      </c>
      <c r="F77" s="25">
        <f>IF('Raw Data'!$G$30="","",'Raw Data'!$G$30)</f>
        <v>150.08000000000001</v>
      </c>
      <c r="G77" s="45" t="str">
        <f>IF(H77="","",_xlfn.XLOOKUP(H77,'Raw Data'!$P$3:$P$16,'Raw Data'!$Q$3:$Q$16,0,0,1))</f>
        <v>Steve</v>
      </c>
      <c r="H77" s="26" t="str">
        <f>IF('Raw Data'!$G$33="","",'Raw Data'!$G$33)</f>
        <v>5 Dozen Eggs by Gaston</v>
      </c>
      <c r="I77" s="23" t="str">
        <f t="shared" si="7"/>
        <v>W</v>
      </c>
      <c r="J77" s="23">
        <f t="shared" si="8"/>
        <v>3</v>
      </c>
      <c r="K77" s="23" t="str">
        <f t="shared" si="9"/>
        <v>W</v>
      </c>
      <c r="L77" s="25">
        <f t="shared" si="10"/>
        <v>6.7599999999999909</v>
      </c>
    </row>
    <row r="78" spans="1:12" x14ac:dyDescent="0.2">
      <c r="A78" s="23">
        <v>7</v>
      </c>
      <c r="B78" s="24" t="str">
        <f>IF('Raw Data'!$G$35="","",'Raw Data'!$G$35)</f>
        <v>We're all mad here</v>
      </c>
      <c r="C78" s="45" t="str">
        <f>IF(B78="","",_xlfn.XLOOKUP(B78,'Raw Data'!$P$3:$P$16,'Raw Data'!$Q$3:$Q$16,0,0,1))</f>
        <v>Rico</v>
      </c>
      <c r="D78" s="25">
        <f>IF('Raw Data'!$G$38="","",'Raw Data'!$G$38)</f>
        <v>145.03</v>
      </c>
      <c r="E78" s="18" t="s">
        <v>1</v>
      </c>
      <c r="F78" s="25">
        <f>IF('Raw Data'!$G$41="","",'Raw Data'!$G$41)</f>
        <v>159.75</v>
      </c>
      <c r="G78" s="45" t="str">
        <f>IF(H78="","",_xlfn.XLOOKUP(H78,'Raw Data'!$P$3:$P$16,'Raw Data'!$Q$3:$Q$16,0,0,1))</f>
        <v>Dylan</v>
      </c>
      <c r="H78" s="26" t="str">
        <f>IF('Raw Data'!$G$44="","",'Raw Data'!$G$44)</f>
        <v>Herbie's Honkers</v>
      </c>
      <c r="I78" s="23" t="str">
        <f t="shared" si="7"/>
        <v>L</v>
      </c>
      <c r="J78" s="23">
        <f t="shared" si="8"/>
        <v>6</v>
      </c>
      <c r="K78" s="23" t="str">
        <f t="shared" si="9"/>
        <v>W</v>
      </c>
      <c r="L78" s="25">
        <f t="shared" si="10"/>
        <v>-14.719999999999999</v>
      </c>
    </row>
    <row r="79" spans="1:12" x14ac:dyDescent="0.2">
      <c r="A79" s="23">
        <v>7</v>
      </c>
      <c r="B79" s="24" t="str">
        <f>IF('Raw Data'!$G$46="","",'Raw Data'!$G$46)</f>
        <v>Wrong Lever!</v>
      </c>
      <c r="C79" s="45" t="str">
        <f>IF(B79="","",_xlfn.XLOOKUP(B79,'Raw Data'!$P$3:$P$16,'Raw Data'!$Q$3:$Q$16,0,0,1))</f>
        <v>Tom</v>
      </c>
      <c r="D79" s="25">
        <f>IF('Raw Data'!$G$49="","",'Raw Data'!$G$49)</f>
        <v>131.51</v>
      </c>
      <c r="E79" s="18" t="s">
        <v>1</v>
      </c>
      <c r="F79" s="25">
        <f>IF('Raw Data'!$G$52="","",'Raw Data'!$G$52)</f>
        <v>114.55</v>
      </c>
      <c r="G79" s="45" t="str">
        <f>IF(H79="","",_xlfn.XLOOKUP(H79,'Raw Data'!$P$3:$P$16,'Raw Data'!$Q$3:$Q$16,0,0,1))</f>
        <v>Nate</v>
      </c>
      <c r="H79" s="26" t="str">
        <f>IF('Raw Data'!$G$55="","",'Raw Data'!$G$55)</f>
        <v>Stupid Smartass Psycho</v>
      </c>
      <c r="I79" s="23" t="str">
        <f t="shared" si="7"/>
        <v>W</v>
      </c>
      <c r="J79" s="23">
        <f t="shared" si="8"/>
        <v>7</v>
      </c>
      <c r="K79" s="23" t="str">
        <f t="shared" si="9"/>
        <v>L</v>
      </c>
      <c r="L79" s="25">
        <f t="shared" si="10"/>
        <v>16.959999999999994</v>
      </c>
    </row>
    <row r="80" spans="1:12" x14ac:dyDescent="0.2">
      <c r="A80" s="23">
        <v>7</v>
      </c>
      <c r="B80" s="24" t="str">
        <f>IF('Raw Data'!$G$57="","",'Raw Data'!$G$57)</f>
        <v>Tick Tock the Crocodile</v>
      </c>
      <c r="C80" s="45" t="str">
        <f>IF(B80="","",_xlfn.XLOOKUP(B80,'Raw Data'!$P$3:$P$16,'Raw Data'!$Q$3:$Q$16,0,0,1))</f>
        <v>Jared</v>
      </c>
      <c r="D80" s="25">
        <f>IF('Raw Data'!$G$60="","",'Raw Data'!$G$60)</f>
        <v>113.75</v>
      </c>
      <c r="E80" s="18" t="s">
        <v>1</v>
      </c>
      <c r="F80" s="25">
        <f>IF('Raw Data'!$G$63="","",'Raw Data'!$G$63)</f>
        <v>168.44</v>
      </c>
      <c r="G80" s="45" t="str">
        <f>IF(H80="","",_xlfn.XLOOKUP(H80,'Raw Data'!$P$3:$P$16,'Raw Data'!$Q$3:$Q$16,0,0,1))</f>
        <v>Eddie</v>
      </c>
      <c r="H80" s="26" t="str">
        <f>IF('Raw Data'!$G$66="","",'Raw Data'!$G$66)</f>
        <v>The Rescuers vs Medusa</v>
      </c>
      <c r="I80" s="23" t="str">
        <f t="shared" si="7"/>
        <v>L</v>
      </c>
      <c r="J80" s="23">
        <f t="shared" si="8"/>
        <v>9</v>
      </c>
      <c r="K80" s="23" t="str">
        <f t="shared" si="9"/>
        <v>L</v>
      </c>
      <c r="L80" s="25">
        <f t="shared" si="10"/>
        <v>-54.69</v>
      </c>
    </row>
    <row r="81" spans="1:12" x14ac:dyDescent="0.2">
      <c r="A81" s="23">
        <v>7</v>
      </c>
      <c r="B81" s="24" t="str">
        <f>IF('Raw Data'!$G$11="","",'Raw Data'!$G$11)</f>
        <v>The Goob Troop</v>
      </c>
      <c r="C81" s="45" t="str">
        <f>IF(B81="","",_xlfn.XLOOKUP(B81,'Raw Data'!$P$3:$P$16,'Raw Data'!$Q$3:$Q$16,0,0,1))</f>
        <v>Justin</v>
      </c>
      <c r="D81" s="25">
        <f>IF('Raw Data'!$G$8="","",'Raw Data'!$G$8)</f>
        <v>153.44999999999999</v>
      </c>
      <c r="E81" s="18" t="s">
        <v>1</v>
      </c>
      <c r="F81" s="25">
        <f>IF('Raw Data'!$G$5="","",'Raw Data'!$G$5)</f>
        <v>111.53</v>
      </c>
      <c r="G81" s="45" t="str">
        <f>IF(H81="","",_xlfn.XLOOKUP(H81,'Raw Data'!$P$3:$P$16,'Raw Data'!$Q$3:$Q$16,0,0,1))</f>
        <v>Dave</v>
      </c>
      <c r="H81" s="27" t="str">
        <f>IF('Raw Data'!$G$2="","",'Raw Data'!$G$2)</f>
        <v>SqueakSqueakinSqueakSqueakity</v>
      </c>
      <c r="I81" s="23" t="str">
        <f t="shared" si="7"/>
        <v>W</v>
      </c>
      <c r="J81" s="23">
        <f t="shared" si="8"/>
        <v>4</v>
      </c>
      <c r="K81" s="23" t="str">
        <f t="shared" si="9"/>
        <v>W</v>
      </c>
      <c r="L81" s="25">
        <f t="shared" si="10"/>
        <v>41.919999999999987</v>
      </c>
    </row>
    <row r="82" spans="1:12" x14ac:dyDescent="0.2">
      <c r="A82" s="23">
        <v>7</v>
      </c>
      <c r="B82" s="24" t="str">
        <f>IF('Raw Data'!$G$22="","",'Raw Data'!$G$22)</f>
        <v>Aladdin Jazerra</v>
      </c>
      <c r="C82" s="45" t="str">
        <f>IF(B82="","",_xlfn.XLOOKUP(B82,'Raw Data'!$P$3:$P$16,'Raw Data'!$Q$3:$Q$16,0,0,1))</f>
        <v>Ian</v>
      </c>
      <c r="D82" s="25">
        <f>IF('Raw Data'!$G$19="","",'Raw Data'!$G$19)</f>
        <v>101.41</v>
      </c>
      <c r="E82" s="18" t="s">
        <v>1</v>
      </c>
      <c r="F82" s="25">
        <f>IF('Raw Data'!$G$16="","",'Raw Data'!$G$16)</f>
        <v>79.88</v>
      </c>
      <c r="G82" s="45" t="str">
        <f>IF(H82="","",_xlfn.XLOOKUP(H82,'Raw Data'!$P$3:$P$16,'Raw Data'!$Q$3:$Q$16,0,0,1))</f>
        <v>Stefan</v>
      </c>
      <c r="H82" s="27" t="str">
        <f>IF('Raw Data'!$G$13="","",'Raw Data'!$G$13)</f>
        <v>Prince Abooboo</v>
      </c>
      <c r="I82" s="23" t="str">
        <f t="shared" si="7"/>
        <v>W</v>
      </c>
      <c r="J82" s="23">
        <f t="shared" si="8"/>
        <v>11</v>
      </c>
      <c r="K82" s="23" t="str">
        <f t="shared" si="9"/>
        <v>L</v>
      </c>
      <c r="L82" s="25">
        <f t="shared" si="10"/>
        <v>21.53</v>
      </c>
    </row>
    <row r="83" spans="1:12" x14ac:dyDescent="0.2">
      <c r="A83" s="23">
        <v>7</v>
      </c>
      <c r="B83" s="24" t="str">
        <f>IF('Raw Data'!$G$33="","",'Raw Data'!$G$33)</f>
        <v>5 Dozen Eggs by Gaston</v>
      </c>
      <c r="C83" s="45" t="str">
        <f>IF(B83="","",_xlfn.XLOOKUP(B83,'Raw Data'!$P$3:$P$16,'Raw Data'!$Q$3:$Q$16,0,0,1))</f>
        <v>Steve</v>
      </c>
      <c r="D83" s="25">
        <f>IF('Raw Data'!$G$30="","",'Raw Data'!$G$30)</f>
        <v>150.08000000000001</v>
      </c>
      <c r="E83" s="18" t="s">
        <v>1</v>
      </c>
      <c r="F83" s="25">
        <f>IF('Raw Data'!$G$27="","",'Raw Data'!$G$27)</f>
        <v>156.84</v>
      </c>
      <c r="G83" s="45" t="str">
        <f>IF(H83="","",_xlfn.XLOOKUP(H83,'Raw Data'!$P$3:$P$16,'Raw Data'!$Q$3:$Q$16,0,0,1))</f>
        <v>Beau</v>
      </c>
      <c r="H83" s="27" t="str">
        <f>IF('Raw Data'!$G$24="","",'Raw Data'!$G$24)</f>
        <v>Jafar</v>
      </c>
      <c r="I83" s="23" t="str">
        <f t="shared" si="7"/>
        <v>L</v>
      </c>
      <c r="J83" s="23">
        <f t="shared" si="8"/>
        <v>5</v>
      </c>
      <c r="K83" s="23" t="str">
        <f t="shared" si="9"/>
        <v>W</v>
      </c>
      <c r="L83" s="25">
        <f t="shared" si="10"/>
        <v>-6.7599999999999909</v>
      </c>
    </row>
    <row r="84" spans="1:12" x14ac:dyDescent="0.2">
      <c r="A84" s="23">
        <v>7</v>
      </c>
      <c r="B84" s="24" t="str">
        <f>IF('Raw Data'!$G$44="","",'Raw Data'!$G$44)</f>
        <v>Herbie's Honkers</v>
      </c>
      <c r="C84" s="45" t="str">
        <f>IF(B84="","",_xlfn.XLOOKUP(B84,'Raw Data'!$P$3:$P$16,'Raw Data'!$Q$3:$Q$16,0,0,1))</f>
        <v>Dylan</v>
      </c>
      <c r="D84" s="25">
        <f>IF('Raw Data'!$G$41="","",'Raw Data'!$G$41)</f>
        <v>159.75</v>
      </c>
      <c r="E84" s="18" t="s">
        <v>1</v>
      </c>
      <c r="F84" s="25">
        <f>IF('Raw Data'!$G$38="","",'Raw Data'!$G$38)</f>
        <v>145.03</v>
      </c>
      <c r="G84" s="45" t="str">
        <f>IF(H84="","",_xlfn.XLOOKUP(H84,'Raw Data'!$P$3:$P$16,'Raw Data'!$Q$3:$Q$16,0,0,1))</f>
        <v>Rico</v>
      </c>
      <c r="H84" s="27" t="str">
        <f>IF('Raw Data'!$G$35="","",'Raw Data'!$G$35)</f>
        <v>We're all mad here</v>
      </c>
      <c r="I84" s="23" t="str">
        <f t="shared" si="7"/>
        <v>W</v>
      </c>
      <c r="J84" s="23">
        <f t="shared" si="8"/>
        <v>2</v>
      </c>
      <c r="K84" s="23" t="str">
        <f t="shared" si="9"/>
        <v>W</v>
      </c>
      <c r="L84" s="25">
        <f t="shared" si="10"/>
        <v>14.719999999999999</v>
      </c>
    </row>
    <row r="85" spans="1:12" x14ac:dyDescent="0.2">
      <c r="A85" s="23">
        <v>7</v>
      </c>
      <c r="B85" s="24" t="str">
        <f>IF('Raw Data'!$G$55="","",'Raw Data'!$G$55)</f>
        <v>Stupid Smartass Psycho</v>
      </c>
      <c r="C85" s="45" t="str">
        <f>IF(B85="","",_xlfn.XLOOKUP(B85,'Raw Data'!$P$3:$P$16,'Raw Data'!$Q$3:$Q$16,0,0,1))</f>
        <v>Nate</v>
      </c>
      <c r="D85" s="25">
        <f>IF('Raw Data'!$G$52="","",'Raw Data'!$G$52)</f>
        <v>114.55</v>
      </c>
      <c r="E85" s="18" t="s">
        <v>1</v>
      </c>
      <c r="F85" s="25">
        <f>IF('Raw Data'!$G$49="","",'Raw Data'!$G$49)</f>
        <v>131.51</v>
      </c>
      <c r="G85" s="45" t="str">
        <f>IF(H85="","",_xlfn.XLOOKUP(H85,'Raw Data'!$P$3:$P$16,'Raw Data'!$Q$3:$Q$16,0,0,1))</f>
        <v>Tom</v>
      </c>
      <c r="H85" s="27" t="str">
        <f>IF('Raw Data'!$G$46="","",'Raw Data'!$G$46)</f>
        <v>Wrong Lever!</v>
      </c>
      <c r="I85" s="23" t="str">
        <f t="shared" si="7"/>
        <v>L</v>
      </c>
      <c r="J85" s="23">
        <f t="shared" si="8"/>
        <v>8</v>
      </c>
      <c r="K85" s="23" t="str">
        <f t="shared" si="9"/>
        <v>L</v>
      </c>
      <c r="L85" s="25">
        <f t="shared" si="10"/>
        <v>-16.959999999999994</v>
      </c>
    </row>
    <row r="86" spans="1:12" x14ac:dyDescent="0.2">
      <c r="A86" s="23">
        <v>7</v>
      </c>
      <c r="B86" s="24" t="str">
        <f>IF('Raw Data'!$G$66="","",'Raw Data'!$G$66)</f>
        <v>The Rescuers vs Medusa</v>
      </c>
      <c r="C86" s="45" t="str">
        <f>IF(B86="","",_xlfn.XLOOKUP(B86,'Raw Data'!$P$3:$P$16,'Raw Data'!$Q$3:$Q$16,0,0,1))</f>
        <v>Eddie</v>
      </c>
      <c r="D86" s="25">
        <f>IF('Raw Data'!$G$63="","",'Raw Data'!$G$63)</f>
        <v>168.44</v>
      </c>
      <c r="E86" s="18" t="s">
        <v>1</v>
      </c>
      <c r="F86" s="25">
        <f>IF('Raw Data'!$G$60="","",'Raw Data'!$G$60)</f>
        <v>113.75</v>
      </c>
      <c r="G86" s="45" t="str">
        <f>IF(H86="","",_xlfn.XLOOKUP(H86,'Raw Data'!$P$3:$P$16,'Raw Data'!$Q$3:$Q$16,0,0,1))</f>
        <v>Jared</v>
      </c>
      <c r="H86" s="27" t="str">
        <f>IF('Raw Data'!$G$57="","",'Raw Data'!$G$57)</f>
        <v>Tick Tock the Crocodile</v>
      </c>
      <c r="I86" s="23" t="str">
        <f t="shared" si="7"/>
        <v>W</v>
      </c>
      <c r="J86" s="23">
        <f t="shared" si="8"/>
        <v>1</v>
      </c>
      <c r="K86" s="23" t="str">
        <f t="shared" si="9"/>
        <v>W</v>
      </c>
      <c r="L86" s="25">
        <f t="shared" si="10"/>
        <v>54.69</v>
      </c>
    </row>
    <row r="87" spans="1:12" x14ac:dyDescent="0.2">
      <c r="A87" s="23">
        <v>8</v>
      </c>
      <c r="B87" s="24" t="str">
        <f>IF('Raw Data'!$H$2="","",'Raw Data'!$H$2)</f>
        <v>SqueakSqueakinSqueakSqueakity</v>
      </c>
      <c r="C87" s="45" t="str">
        <f>IF(B87="","",_xlfn.XLOOKUP(B87,'Raw Data'!$P$3:$P$16,'Raw Data'!$Q$3:$Q$16,0,0,1))</f>
        <v>Dave</v>
      </c>
      <c r="D87" s="25">
        <f>IF('Raw Data'!$H$5="","",'Raw Data'!$H$5)</f>
        <v>156.52000000000001</v>
      </c>
      <c r="E87" s="18" t="s">
        <v>1</v>
      </c>
      <c r="F87" s="25">
        <f>IF('Raw Data'!$H$8="","",'Raw Data'!$H$8)</f>
        <v>94.13</v>
      </c>
      <c r="G87" s="45" t="str">
        <f>IF(H87="","",_xlfn.XLOOKUP(H87,'Raw Data'!$P$3:$P$16,'Raw Data'!$Q$3:$Q$16,0,0,1))</f>
        <v>Dylan</v>
      </c>
      <c r="H87" s="26" t="str">
        <f>IF('Raw Data'!$H$11="","",'Raw Data'!$H$11)</f>
        <v>Herbie's Honkers</v>
      </c>
      <c r="I87" s="23" t="str">
        <f t="shared" si="7"/>
        <v>W</v>
      </c>
      <c r="J87" s="23">
        <f t="shared" si="8"/>
        <v>3</v>
      </c>
      <c r="K87" s="23" t="str">
        <f t="shared" si="9"/>
        <v>W</v>
      </c>
      <c r="L87" s="25">
        <f t="shared" si="10"/>
        <v>62.390000000000015</v>
      </c>
    </row>
    <row r="88" spans="1:12" x14ac:dyDescent="0.2">
      <c r="A88" s="23">
        <v>8</v>
      </c>
      <c r="B88" s="24" t="str">
        <f>IF('Raw Data'!$H$13="","",'Raw Data'!$H$13)</f>
        <v>Prince Abooboo</v>
      </c>
      <c r="C88" s="45" t="str">
        <f>IF(B88="","",_xlfn.XLOOKUP(B88,'Raw Data'!$P$3:$P$16,'Raw Data'!$Q$3:$Q$16,0,0,1))</f>
        <v>Stefan</v>
      </c>
      <c r="D88" s="25">
        <f>IF('Raw Data'!$H$16="","",'Raw Data'!$H$16)</f>
        <v>113.63</v>
      </c>
      <c r="E88" s="18" t="s">
        <v>1</v>
      </c>
      <c r="F88" s="25">
        <f>IF('Raw Data'!$H$19="","",'Raw Data'!$H$19)</f>
        <v>164.22</v>
      </c>
      <c r="G88" s="45" t="str">
        <f>IF(H88="","",_xlfn.XLOOKUP(H88,'Raw Data'!$P$3:$P$16,'Raw Data'!$Q$3:$Q$16,0,0,1))</f>
        <v>Nate</v>
      </c>
      <c r="H88" s="26" t="str">
        <f>IF('Raw Data'!$H$22="","",'Raw Data'!$H$22)</f>
        <v>Stupid Smartass Psycho</v>
      </c>
      <c r="I88" s="23" t="str">
        <f t="shared" si="7"/>
        <v>L</v>
      </c>
      <c r="J88" s="23">
        <f t="shared" si="8"/>
        <v>8</v>
      </c>
      <c r="K88" s="23" t="str">
        <f t="shared" si="9"/>
        <v>L</v>
      </c>
      <c r="L88" s="25">
        <f t="shared" si="10"/>
        <v>-50.59</v>
      </c>
    </row>
    <row r="89" spans="1:12" x14ac:dyDescent="0.2">
      <c r="A89" s="23">
        <v>8</v>
      </c>
      <c r="B89" s="24" t="str">
        <f>IF('Raw Data'!$H$24="","",'Raw Data'!$H$24)</f>
        <v>Jafar</v>
      </c>
      <c r="C89" s="45" t="str">
        <f>IF(B89="","",_xlfn.XLOOKUP(B89,'Raw Data'!$P$3:$P$16,'Raw Data'!$Q$3:$Q$16,0,0,1))</f>
        <v>Beau</v>
      </c>
      <c r="D89" s="25">
        <f>IF('Raw Data'!$H$27="","",'Raw Data'!$H$27)</f>
        <v>105.92</v>
      </c>
      <c r="E89" s="18" t="s">
        <v>1</v>
      </c>
      <c r="F89" s="25">
        <f>IF('Raw Data'!$H$30="","",'Raw Data'!$H$30)</f>
        <v>179.6</v>
      </c>
      <c r="G89" s="45" t="str">
        <f>IF(H89="","",_xlfn.XLOOKUP(H89,'Raw Data'!$P$3:$P$16,'Raw Data'!$Q$3:$Q$16,0,0,1))</f>
        <v>Ian</v>
      </c>
      <c r="H89" s="26" t="str">
        <f>IF('Raw Data'!$H$33="","",'Raw Data'!$H$33)</f>
        <v>Aladdin Jazerra</v>
      </c>
      <c r="I89" s="23" t="str">
        <f t="shared" si="7"/>
        <v>L</v>
      </c>
      <c r="J89" s="23">
        <f t="shared" si="8"/>
        <v>10</v>
      </c>
      <c r="K89" s="23" t="str">
        <f t="shared" si="9"/>
        <v>L</v>
      </c>
      <c r="L89" s="25">
        <f t="shared" si="10"/>
        <v>-73.679999999999993</v>
      </c>
    </row>
    <row r="90" spans="1:12" x14ac:dyDescent="0.2">
      <c r="A90" s="23">
        <v>8</v>
      </c>
      <c r="B90" s="24" t="str">
        <f>IF('Raw Data'!$H$35="","",'Raw Data'!$H$35)</f>
        <v>We're all mad here</v>
      </c>
      <c r="C90" s="45" t="str">
        <f>IF(B90="","",_xlfn.XLOOKUP(B90,'Raw Data'!$P$3:$P$16,'Raw Data'!$Q$3:$Q$16,0,0,1))</f>
        <v>Rico</v>
      </c>
      <c r="D90" s="25">
        <f>IF('Raw Data'!$H$38="","",'Raw Data'!$H$38)</f>
        <v>108.92</v>
      </c>
      <c r="E90" s="18" t="s">
        <v>1</v>
      </c>
      <c r="F90" s="25">
        <f>IF('Raw Data'!$H$41="","",'Raw Data'!$H$41)</f>
        <v>136.25</v>
      </c>
      <c r="G90" s="45" t="str">
        <f>IF(H90="","",_xlfn.XLOOKUP(H90,'Raw Data'!$P$3:$P$16,'Raw Data'!$Q$3:$Q$16,0,0,1))</f>
        <v>Steve</v>
      </c>
      <c r="H90" s="26" t="str">
        <f>IF('Raw Data'!$H$44="","",'Raw Data'!$H$44)</f>
        <v>5 Dozen Eggs by Gaston</v>
      </c>
      <c r="I90" s="23" t="str">
        <f t="shared" si="7"/>
        <v>L</v>
      </c>
      <c r="J90" s="23">
        <f t="shared" si="8"/>
        <v>9</v>
      </c>
      <c r="K90" s="23" t="str">
        <f t="shared" si="9"/>
        <v>L</v>
      </c>
      <c r="L90" s="25">
        <f t="shared" si="10"/>
        <v>-27.33</v>
      </c>
    </row>
    <row r="91" spans="1:12" x14ac:dyDescent="0.2">
      <c r="A91" s="23">
        <v>8</v>
      </c>
      <c r="B91" s="24" t="str">
        <f>IF('Raw Data'!$H$46="","",'Raw Data'!$H$46)</f>
        <v>The Goob Troop</v>
      </c>
      <c r="C91" s="45" t="str">
        <f>IF(B91="","",_xlfn.XLOOKUP(B91,'Raw Data'!$P$3:$P$16,'Raw Data'!$Q$3:$Q$16,0,0,1))</f>
        <v>Justin</v>
      </c>
      <c r="D91" s="25">
        <f>IF('Raw Data'!$H$49="","",'Raw Data'!$H$49)</f>
        <v>114.98</v>
      </c>
      <c r="E91" s="18" t="s">
        <v>1</v>
      </c>
      <c r="F91" s="25">
        <f>IF('Raw Data'!$H$52="","",'Raw Data'!$H$52)</f>
        <v>122.9</v>
      </c>
      <c r="G91" s="45" t="str">
        <f>IF(H91="","",_xlfn.XLOOKUP(H91,'Raw Data'!$P$3:$P$16,'Raw Data'!$Q$3:$Q$16,0,0,1))</f>
        <v>Eddie</v>
      </c>
      <c r="H91" s="26" t="str">
        <f>IF('Raw Data'!$H$55="","",'Raw Data'!$H$55)</f>
        <v>The Rescuers vs Medusa</v>
      </c>
      <c r="I91" s="23" t="str">
        <f t="shared" si="7"/>
        <v>L</v>
      </c>
      <c r="J91" s="23">
        <f t="shared" si="8"/>
        <v>7</v>
      </c>
      <c r="K91" s="23" t="str">
        <f t="shared" si="9"/>
        <v>L</v>
      </c>
      <c r="L91" s="25">
        <f t="shared" si="10"/>
        <v>-7.9200000000000017</v>
      </c>
    </row>
    <row r="92" spans="1:12" x14ac:dyDescent="0.2">
      <c r="A92" s="23">
        <v>8</v>
      </c>
      <c r="B92" s="24" t="str">
        <f>IF('Raw Data'!$H$57="","",'Raw Data'!$H$57)</f>
        <v>Wrong Lever!</v>
      </c>
      <c r="C92" s="45" t="str">
        <f>IF(B92="","",_xlfn.XLOOKUP(B92,'Raw Data'!$P$3:$P$16,'Raw Data'!$Q$3:$Q$16,0,0,1))</f>
        <v>Tom</v>
      </c>
      <c r="D92" s="25">
        <f>IF('Raw Data'!$H$60="","",'Raw Data'!$H$60)</f>
        <v>100.16</v>
      </c>
      <c r="E92" s="18" t="s">
        <v>1</v>
      </c>
      <c r="F92" s="25">
        <f>IF('Raw Data'!$H$63="","",'Raw Data'!$H$63)</f>
        <v>123.68</v>
      </c>
      <c r="G92" s="45" t="str">
        <f>IF(H92="","",_xlfn.XLOOKUP(H92,'Raw Data'!$P$3:$P$16,'Raw Data'!$Q$3:$Q$16,0,0,1))</f>
        <v>Jared</v>
      </c>
      <c r="H92" s="26" t="str">
        <f>IF('Raw Data'!$H$66="","",'Raw Data'!$H$66)</f>
        <v>Tick Tock the Crocodile</v>
      </c>
      <c r="I92" s="23" t="str">
        <f t="shared" si="7"/>
        <v>L</v>
      </c>
      <c r="J92" s="23">
        <f t="shared" si="8"/>
        <v>11</v>
      </c>
      <c r="K92" s="23" t="str">
        <f t="shared" si="9"/>
        <v>L</v>
      </c>
      <c r="L92" s="25">
        <f t="shared" si="10"/>
        <v>-23.52000000000001</v>
      </c>
    </row>
    <row r="93" spans="1:12" x14ac:dyDescent="0.2">
      <c r="A93" s="23">
        <v>8</v>
      </c>
      <c r="B93" s="24" t="str">
        <f>IF('Raw Data'!$H$11="","",'Raw Data'!$H$11)</f>
        <v>Herbie's Honkers</v>
      </c>
      <c r="C93" s="45" t="str">
        <f>IF(B93="","",_xlfn.XLOOKUP(B93,'Raw Data'!$P$3:$P$16,'Raw Data'!$Q$3:$Q$16,0,0,1))</f>
        <v>Dylan</v>
      </c>
      <c r="D93" s="25">
        <f>IF('Raw Data'!$H$8="","",'Raw Data'!$H$8)</f>
        <v>94.13</v>
      </c>
      <c r="E93" s="18" t="s">
        <v>1</v>
      </c>
      <c r="F93" s="25">
        <f>IF('Raw Data'!$H$5="","",'Raw Data'!$H$5)</f>
        <v>156.52000000000001</v>
      </c>
      <c r="G93" s="45" t="str">
        <f>IF(H93="","",_xlfn.XLOOKUP(H93,'Raw Data'!$P$3:$P$16,'Raw Data'!$Q$3:$Q$16,0,0,1))</f>
        <v>Dave</v>
      </c>
      <c r="H93" s="27" t="str">
        <f>IF('Raw Data'!$H$2="","",'Raw Data'!$H$2)</f>
        <v>SqueakSqueakinSqueakSqueakity</v>
      </c>
      <c r="I93" s="23" t="str">
        <f t="shared" si="7"/>
        <v>L</v>
      </c>
      <c r="J93" s="23">
        <f t="shared" si="8"/>
        <v>12</v>
      </c>
      <c r="K93" s="23" t="str">
        <f t="shared" si="9"/>
        <v>L</v>
      </c>
      <c r="L93" s="25">
        <f t="shared" si="10"/>
        <v>-62.390000000000015</v>
      </c>
    </row>
    <row r="94" spans="1:12" x14ac:dyDescent="0.2">
      <c r="A94" s="23">
        <v>8</v>
      </c>
      <c r="B94" s="24" t="str">
        <f>IF('Raw Data'!$H$22="","",'Raw Data'!$H$22)</f>
        <v>Stupid Smartass Psycho</v>
      </c>
      <c r="C94" s="45" t="str">
        <f>IF(B94="","",_xlfn.XLOOKUP(B94,'Raw Data'!$P$3:$P$16,'Raw Data'!$Q$3:$Q$16,0,0,1))</f>
        <v>Nate</v>
      </c>
      <c r="D94" s="25">
        <f>IF('Raw Data'!$H$19="","",'Raw Data'!$H$19)</f>
        <v>164.22</v>
      </c>
      <c r="E94" s="18" t="s">
        <v>1</v>
      </c>
      <c r="F94" s="25">
        <f>IF('Raw Data'!$H$16="","",'Raw Data'!$H$16)</f>
        <v>113.63</v>
      </c>
      <c r="G94" s="45" t="str">
        <f>IF(H94="","",_xlfn.XLOOKUP(H94,'Raw Data'!$P$3:$P$16,'Raw Data'!$Q$3:$Q$16,0,0,1))</f>
        <v>Stefan</v>
      </c>
      <c r="H94" s="27" t="str">
        <f>IF('Raw Data'!$H$13="","",'Raw Data'!$H$13)</f>
        <v>Prince Abooboo</v>
      </c>
      <c r="I94" s="23" t="str">
        <f t="shared" si="7"/>
        <v>W</v>
      </c>
      <c r="J94" s="23">
        <f t="shared" si="8"/>
        <v>2</v>
      </c>
      <c r="K94" s="23" t="str">
        <f t="shared" si="9"/>
        <v>W</v>
      </c>
      <c r="L94" s="25">
        <f t="shared" si="10"/>
        <v>50.59</v>
      </c>
    </row>
    <row r="95" spans="1:12" x14ac:dyDescent="0.2">
      <c r="A95" s="23">
        <v>8</v>
      </c>
      <c r="B95" s="24" t="str">
        <f>IF('Raw Data'!$H$33="","",'Raw Data'!$H$33)</f>
        <v>Aladdin Jazerra</v>
      </c>
      <c r="C95" s="45" t="str">
        <f>IF(B95="","",_xlfn.XLOOKUP(B95,'Raw Data'!$P$3:$P$16,'Raw Data'!$Q$3:$Q$16,0,0,1))</f>
        <v>Ian</v>
      </c>
      <c r="D95" s="25">
        <f>IF('Raw Data'!$H$30="","",'Raw Data'!$H$30)</f>
        <v>179.6</v>
      </c>
      <c r="E95" s="18" t="s">
        <v>1</v>
      </c>
      <c r="F95" s="25">
        <f>IF('Raw Data'!$H$27="","",'Raw Data'!$H$27)</f>
        <v>105.92</v>
      </c>
      <c r="G95" s="45" t="str">
        <f>IF(H95="","",_xlfn.XLOOKUP(H95,'Raw Data'!$P$3:$P$16,'Raw Data'!$Q$3:$Q$16,0,0,1))</f>
        <v>Beau</v>
      </c>
      <c r="H95" s="27" t="str">
        <f>IF('Raw Data'!$H$24="","",'Raw Data'!$H$24)</f>
        <v>Jafar</v>
      </c>
      <c r="I95" s="23" t="str">
        <f t="shared" si="7"/>
        <v>W</v>
      </c>
      <c r="J95" s="23">
        <f t="shared" si="8"/>
        <v>1</v>
      </c>
      <c r="K95" s="23" t="str">
        <f t="shared" si="9"/>
        <v>W</v>
      </c>
      <c r="L95" s="25">
        <f t="shared" si="10"/>
        <v>73.679999999999993</v>
      </c>
    </row>
    <row r="96" spans="1:12" x14ac:dyDescent="0.2">
      <c r="A96" s="23">
        <v>8</v>
      </c>
      <c r="B96" s="24" t="str">
        <f>IF('Raw Data'!$H$44="","",'Raw Data'!$H$44)</f>
        <v>5 Dozen Eggs by Gaston</v>
      </c>
      <c r="C96" s="45" t="str">
        <f>IF(B96="","",_xlfn.XLOOKUP(B96,'Raw Data'!$P$3:$P$16,'Raw Data'!$Q$3:$Q$16,0,0,1))</f>
        <v>Steve</v>
      </c>
      <c r="D96" s="25">
        <f>IF('Raw Data'!$H$41="","",'Raw Data'!$H$41)</f>
        <v>136.25</v>
      </c>
      <c r="E96" s="18" t="s">
        <v>1</v>
      </c>
      <c r="F96" s="25">
        <f>IF('Raw Data'!$H$38="","",'Raw Data'!$H$38)</f>
        <v>108.92</v>
      </c>
      <c r="G96" s="45" t="str">
        <f>IF(H96="","",_xlfn.XLOOKUP(H96,'Raw Data'!$P$3:$P$16,'Raw Data'!$Q$3:$Q$16,0,0,1))</f>
        <v>Rico</v>
      </c>
      <c r="H96" s="27" t="str">
        <f>IF('Raw Data'!$H$35="","",'Raw Data'!$H$35)</f>
        <v>We're all mad here</v>
      </c>
      <c r="I96" s="23" t="str">
        <f t="shared" si="7"/>
        <v>W</v>
      </c>
      <c r="J96" s="23">
        <f t="shared" si="8"/>
        <v>4</v>
      </c>
      <c r="K96" s="23" t="str">
        <f t="shared" si="9"/>
        <v>W</v>
      </c>
      <c r="L96" s="25">
        <f t="shared" si="10"/>
        <v>27.33</v>
      </c>
    </row>
    <row r="97" spans="1:12" x14ac:dyDescent="0.2">
      <c r="A97" s="23">
        <v>8</v>
      </c>
      <c r="B97" s="24" t="str">
        <f>IF('Raw Data'!$H$55="","",'Raw Data'!$H$55)</f>
        <v>The Rescuers vs Medusa</v>
      </c>
      <c r="C97" s="45" t="str">
        <f>IF(B97="","",_xlfn.XLOOKUP(B97,'Raw Data'!$P$3:$P$16,'Raw Data'!$Q$3:$Q$16,0,0,1))</f>
        <v>Eddie</v>
      </c>
      <c r="D97" s="25">
        <f>IF('Raw Data'!$H$52="","",'Raw Data'!$H$52)</f>
        <v>122.9</v>
      </c>
      <c r="E97" s="18" t="s">
        <v>1</v>
      </c>
      <c r="F97" s="25">
        <f>IF('Raw Data'!$H$49="","",'Raw Data'!$H$49)</f>
        <v>114.98</v>
      </c>
      <c r="G97" s="45" t="str">
        <f>IF(H97="","",_xlfn.XLOOKUP(H97,'Raw Data'!$P$3:$P$16,'Raw Data'!$Q$3:$Q$16,0,0,1))</f>
        <v>Justin</v>
      </c>
      <c r="H97" s="27" t="str">
        <f>IF('Raw Data'!$H$46="","",'Raw Data'!$H$46)</f>
        <v>The Goob Troop</v>
      </c>
      <c r="I97" s="23" t="str">
        <f t="shared" si="7"/>
        <v>W</v>
      </c>
      <c r="J97" s="23">
        <f t="shared" si="8"/>
        <v>6</v>
      </c>
      <c r="K97" s="23" t="str">
        <f t="shared" si="9"/>
        <v>W</v>
      </c>
      <c r="L97" s="25">
        <f t="shared" si="10"/>
        <v>7.9200000000000017</v>
      </c>
    </row>
    <row r="98" spans="1:12" x14ac:dyDescent="0.2">
      <c r="A98" s="23">
        <v>8</v>
      </c>
      <c r="B98" s="24" t="str">
        <f>IF('Raw Data'!$H$66="","",'Raw Data'!$H$66)</f>
        <v>Tick Tock the Crocodile</v>
      </c>
      <c r="C98" s="45" t="str">
        <f>IF(B98="","",_xlfn.XLOOKUP(B98,'Raw Data'!$P$3:$P$16,'Raw Data'!$Q$3:$Q$16,0,0,1))</f>
        <v>Jared</v>
      </c>
      <c r="D98" s="25">
        <f>IF('Raw Data'!$H$63="","",'Raw Data'!$H$63)</f>
        <v>123.68</v>
      </c>
      <c r="E98" s="18" t="s">
        <v>1</v>
      </c>
      <c r="F98" s="25">
        <f>IF('Raw Data'!$H$60="","",'Raw Data'!$H$60)</f>
        <v>100.16</v>
      </c>
      <c r="G98" s="45" t="str">
        <f>IF(H98="","",_xlfn.XLOOKUP(H98,'Raw Data'!$P$3:$P$16,'Raw Data'!$Q$3:$Q$16,0,0,1))</f>
        <v>Tom</v>
      </c>
      <c r="H98" s="27" t="str">
        <f>IF('Raw Data'!$H$57="","",'Raw Data'!$H$57)</f>
        <v>Wrong Lever!</v>
      </c>
      <c r="I98" s="23" t="str">
        <f t="shared" si="7"/>
        <v>W</v>
      </c>
      <c r="J98" s="23">
        <f t="shared" si="8"/>
        <v>5</v>
      </c>
      <c r="K98" s="23" t="str">
        <f t="shared" si="9"/>
        <v>W</v>
      </c>
      <c r="L98" s="25">
        <f t="shared" si="10"/>
        <v>23.52000000000001</v>
      </c>
    </row>
    <row r="99" spans="1:12" x14ac:dyDescent="0.2">
      <c r="A99" s="23">
        <v>9</v>
      </c>
      <c r="B99" s="24" t="str">
        <f>IF('Raw Data'!$I$2="","",'Raw Data'!$I$2)</f>
        <v>SqueakSqueakinSqueakSqueakity</v>
      </c>
      <c r="C99" s="45" t="str">
        <f>IF(B99="","",_xlfn.XLOOKUP(B99,'Raw Data'!$P$3:$P$16,'Raw Data'!$Q$3:$Q$16,0,0,1))</f>
        <v>Dave</v>
      </c>
      <c r="D99" s="25">
        <f>IF('Raw Data'!$I$5="","",'Raw Data'!$I$5)</f>
        <v>142.94</v>
      </c>
      <c r="E99" s="18" t="s">
        <v>1</v>
      </c>
      <c r="F99" s="25">
        <f>IF('Raw Data'!$I$8="","",'Raw Data'!$I$8)</f>
        <v>144.35</v>
      </c>
      <c r="G99" s="45" t="str">
        <f>IF(H99="","",_xlfn.XLOOKUP(H99,'Raw Data'!$P$3:$P$16,'Raw Data'!$Q$3:$Q$16,0,0,1))</f>
        <v>Stefan</v>
      </c>
      <c r="H99" s="26" t="str">
        <f>IF('Raw Data'!$I$11="","",'Raw Data'!$I$11)</f>
        <v>Prince Abooboo</v>
      </c>
      <c r="I99" s="23" t="str">
        <f t="shared" si="7"/>
        <v>L</v>
      </c>
      <c r="J99" s="23">
        <f t="shared" si="8"/>
        <v>4</v>
      </c>
      <c r="K99" s="23" t="str">
        <f t="shared" si="9"/>
        <v>W</v>
      </c>
      <c r="L99" s="25">
        <f t="shared" si="10"/>
        <v>-1.4099999999999966</v>
      </c>
    </row>
    <row r="100" spans="1:12" x14ac:dyDescent="0.2">
      <c r="A100" s="23">
        <v>9</v>
      </c>
      <c r="B100" s="24" t="str">
        <f>IF('Raw Data'!$I$13="","",'Raw Data'!$I$13)</f>
        <v>Jafar</v>
      </c>
      <c r="C100" s="45" t="str">
        <f>IF(B100="","",_xlfn.XLOOKUP(B100,'Raw Data'!$P$3:$P$16,'Raw Data'!$Q$3:$Q$16,0,0,1))</f>
        <v>Beau</v>
      </c>
      <c r="D100" s="25">
        <f>IF('Raw Data'!$I$16="","",'Raw Data'!$I$16)</f>
        <v>122.26</v>
      </c>
      <c r="E100" s="18" t="s">
        <v>1</v>
      </c>
      <c r="F100" s="25">
        <f>IF('Raw Data'!$I$19="","",'Raw Data'!$I$19)</f>
        <v>121.46</v>
      </c>
      <c r="G100" s="45" t="str">
        <f>IF(H100="","",_xlfn.XLOOKUP(H100,'Raw Data'!$P$3:$P$16,'Raw Data'!$Q$3:$Q$16,0,0,1))</f>
        <v>Eddie</v>
      </c>
      <c r="H100" s="26" t="str">
        <f>IF('Raw Data'!$I$22="","",'Raw Data'!$I$22)</f>
        <v>The Rescuers vs Medusa</v>
      </c>
      <c r="I100" s="23" t="str">
        <f t="shared" si="7"/>
        <v>W</v>
      </c>
      <c r="J100" s="23">
        <f t="shared" si="8"/>
        <v>7</v>
      </c>
      <c r="K100" s="23" t="str">
        <f t="shared" si="9"/>
        <v>L</v>
      </c>
      <c r="L100" s="25">
        <f t="shared" si="10"/>
        <v>0.80000000000001137</v>
      </c>
    </row>
    <row r="101" spans="1:12" x14ac:dyDescent="0.2">
      <c r="A101" s="23">
        <v>9</v>
      </c>
      <c r="B101" s="24" t="str">
        <f>IF('Raw Data'!$I$24="","",'Raw Data'!$I$24)</f>
        <v>We're all mad here</v>
      </c>
      <c r="C101" s="45" t="str">
        <f>IF(B101="","",_xlfn.XLOOKUP(B101,'Raw Data'!$P$3:$P$16,'Raw Data'!$Q$3:$Q$16,0,0,1))</f>
        <v>Rico</v>
      </c>
      <c r="D101" s="25">
        <f>IF('Raw Data'!$I$27="","",'Raw Data'!$I$27)</f>
        <v>113.3</v>
      </c>
      <c r="E101" s="18" t="s">
        <v>1</v>
      </c>
      <c r="F101" s="25">
        <f>IF('Raw Data'!$I$30="","",'Raw Data'!$I$30)</f>
        <v>118.1</v>
      </c>
      <c r="G101" s="45" t="str">
        <f>IF(H101="","",_xlfn.XLOOKUP(H101,'Raw Data'!$P$3:$P$16,'Raw Data'!$Q$3:$Q$16,0,0,1))</f>
        <v>Tom</v>
      </c>
      <c r="H101" s="26" t="str">
        <f>IF('Raw Data'!$I$33="","",'Raw Data'!$I$33)</f>
        <v>Wrong Lever!</v>
      </c>
      <c r="I101" s="23" t="str">
        <f t="shared" si="7"/>
        <v>L</v>
      </c>
      <c r="J101" s="23">
        <f t="shared" si="8"/>
        <v>10</v>
      </c>
      <c r="K101" s="23" t="str">
        <f t="shared" si="9"/>
        <v>L</v>
      </c>
      <c r="L101" s="25">
        <f t="shared" si="10"/>
        <v>-4.7999999999999972</v>
      </c>
    </row>
    <row r="102" spans="1:12" x14ac:dyDescent="0.2">
      <c r="A102" s="23">
        <v>9</v>
      </c>
      <c r="B102" s="24" t="str">
        <f>IF('Raw Data'!$I$35="","",'Raw Data'!$I$35)</f>
        <v>The Goob Troop</v>
      </c>
      <c r="C102" s="45" t="str">
        <f>IF(B102="","",_xlfn.XLOOKUP(B102,'Raw Data'!$P$3:$P$16,'Raw Data'!$Q$3:$Q$16,0,0,1))</f>
        <v>Justin</v>
      </c>
      <c r="D102" s="25">
        <f>IF('Raw Data'!$I$38="","",'Raw Data'!$I$38)</f>
        <v>140.51</v>
      </c>
      <c r="E102" s="18" t="s">
        <v>1</v>
      </c>
      <c r="F102" s="25">
        <f>IF('Raw Data'!$I$41="","",'Raw Data'!$I$41)</f>
        <v>99.59</v>
      </c>
      <c r="G102" s="45" t="str">
        <f>IF(H102="","",_xlfn.XLOOKUP(H102,'Raw Data'!$P$3:$P$16,'Raw Data'!$Q$3:$Q$16,0,0,1))</f>
        <v>Jared</v>
      </c>
      <c r="H102" s="26" t="str">
        <f>IF('Raw Data'!$I$44="","",'Raw Data'!$I$44)</f>
        <v>Tick Tock the Crocodile</v>
      </c>
      <c r="I102" s="23" t="str">
        <f t="shared" si="7"/>
        <v>W</v>
      </c>
      <c r="J102" s="23">
        <f t="shared" si="8"/>
        <v>5</v>
      </c>
      <c r="K102" s="23" t="str">
        <f t="shared" si="9"/>
        <v>W</v>
      </c>
      <c r="L102" s="25">
        <f t="shared" si="10"/>
        <v>40.919999999999987</v>
      </c>
    </row>
    <row r="103" spans="1:12" x14ac:dyDescent="0.2">
      <c r="A103" s="23">
        <v>9</v>
      </c>
      <c r="B103" s="24" t="str">
        <f>IF('Raw Data'!$I$46="","",'Raw Data'!$I$46)</f>
        <v>5 Dozen Eggs by Gaston</v>
      </c>
      <c r="C103" s="45" t="str">
        <f>IF(B103="","",_xlfn.XLOOKUP(B103,'Raw Data'!$P$3:$P$16,'Raw Data'!$Q$3:$Q$16,0,0,1))</f>
        <v>Steve</v>
      </c>
      <c r="D103" s="25">
        <f>IF('Raw Data'!$I$49="","",'Raw Data'!$I$49)</f>
        <v>113.27</v>
      </c>
      <c r="E103" s="18" t="s">
        <v>1</v>
      </c>
      <c r="F103" s="25">
        <f>IF('Raw Data'!$I$52="","",'Raw Data'!$I$52)</f>
        <v>149.04</v>
      </c>
      <c r="G103" s="45" t="str">
        <f>IF(H103="","",_xlfn.XLOOKUP(H103,'Raw Data'!$P$3:$P$16,'Raw Data'!$Q$3:$Q$16,0,0,1))</f>
        <v>Nate</v>
      </c>
      <c r="H103" s="26" t="str">
        <f>IF('Raw Data'!$I$55="","",'Raw Data'!$I$55)</f>
        <v>Stupid Smartass Psycho</v>
      </c>
      <c r="I103" s="23" t="str">
        <f t="shared" si="7"/>
        <v>L</v>
      </c>
      <c r="J103" s="23">
        <f t="shared" si="8"/>
        <v>11</v>
      </c>
      <c r="K103" s="23" t="str">
        <f t="shared" si="9"/>
        <v>L</v>
      </c>
      <c r="L103" s="25">
        <f t="shared" si="10"/>
        <v>-35.769999999999996</v>
      </c>
    </row>
    <row r="104" spans="1:12" x14ac:dyDescent="0.2">
      <c r="A104" s="23">
        <v>9</v>
      </c>
      <c r="B104" s="24" t="str">
        <f>IF('Raw Data'!$I$57="","",'Raw Data'!$I$57)</f>
        <v>Herbie's Honkers</v>
      </c>
      <c r="C104" s="45" t="str">
        <f>IF(B104="","",_xlfn.XLOOKUP(B104,'Raw Data'!$P$3:$P$16,'Raw Data'!$Q$3:$Q$16,0,0,1))</f>
        <v>Dylan</v>
      </c>
      <c r="D104" s="25">
        <f>IF('Raw Data'!$I$60="","",'Raw Data'!$I$60)</f>
        <v>152.22999999999999</v>
      </c>
      <c r="E104" s="18" t="s">
        <v>1</v>
      </c>
      <c r="F104" s="25">
        <f>IF('Raw Data'!$I$63="","",'Raw Data'!$I$63)</f>
        <v>134.54</v>
      </c>
      <c r="G104" s="45" t="str">
        <f>IF(H104="","",_xlfn.XLOOKUP(H104,'Raw Data'!$P$3:$P$16,'Raw Data'!$Q$3:$Q$16,0,0,1))</f>
        <v>Ian</v>
      </c>
      <c r="H104" s="26" t="str">
        <f>IF('Raw Data'!$I$66="","",'Raw Data'!$I$66)</f>
        <v>Aladdin Jazerra</v>
      </c>
      <c r="I104" s="23" t="str">
        <f t="shared" si="7"/>
        <v>W</v>
      </c>
      <c r="J104" s="23">
        <f t="shared" si="8"/>
        <v>1</v>
      </c>
      <c r="K104" s="23" t="str">
        <f t="shared" si="9"/>
        <v>W</v>
      </c>
      <c r="L104" s="25">
        <f t="shared" si="10"/>
        <v>17.689999999999998</v>
      </c>
    </row>
    <row r="105" spans="1:12" x14ac:dyDescent="0.2">
      <c r="A105" s="23">
        <v>9</v>
      </c>
      <c r="B105" s="24" t="str">
        <f>IF('Raw Data'!$I$11="","",'Raw Data'!$I$11)</f>
        <v>Prince Abooboo</v>
      </c>
      <c r="C105" s="45" t="str">
        <f>IF(B105="","",_xlfn.XLOOKUP(B105,'Raw Data'!$P$3:$P$16,'Raw Data'!$Q$3:$Q$16,0,0,1))</f>
        <v>Stefan</v>
      </c>
      <c r="D105" s="25">
        <f>IF('Raw Data'!$I$8="","",'Raw Data'!$I$8)</f>
        <v>144.35</v>
      </c>
      <c r="E105" s="18" t="s">
        <v>1</v>
      </c>
      <c r="F105" s="25">
        <f>IF('Raw Data'!$I$5="","",'Raw Data'!$I$5)</f>
        <v>142.94</v>
      </c>
      <c r="G105" s="45" t="str">
        <f>IF(H105="","",_xlfn.XLOOKUP(H105,'Raw Data'!$P$3:$P$16,'Raw Data'!$Q$3:$Q$16,0,0,1))</f>
        <v>Dave</v>
      </c>
      <c r="H105" s="27" t="str">
        <f>IF('Raw Data'!$I$2="","",'Raw Data'!$I$2)</f>
        <v>SqueakSqueakinSqueakSqueakity</v>
      </c>
      <c r="I105" s="23" t="str">
        <f t="shared" si="7"/>
        <v>W</v>
      </c>
      <c r="J105" s="23">
        <f t="shared" si="8"/>
        <v>3</v>
      </c>
      <c r="K105" s="23" t="str">
        <f t="shared" si="9"/>
        <v>W</v>
      </c>
      <c r="L105" s="25">
        <f t="shared" si="10"/>
        <v>1.4099999999999966</v>
      </c>
    </row>
    <row r="106" spans="1:12" x14ac:dyDescent="0.2">
      <c r="A106" s="23">
        <v>9</v>
      </c>
      <c r="B106" s="24" t="str">
        <f>IF('Raw Data'!$I$22="","",'Raw Data'!$I$22)</f>
        <v>The Rescuers vs Medusa</v>
      </c>
      <c r="C106" s="45" t="str">
        <f>IF(B106="","",_xlfn.XLOOKUP(B106,'Raw Data'!$P$3:$P$16,'Raw Data'!$Q$3:$Q$16,0,0,1))</f>
        <v>Eddie</v>
      </c>
      <c r="D106" s="25">
        <f>IF('Raw Data'!$I$19="","",'Raw Data'!$I$19)</f>
        <v>121.46</v>
      </c>
      <c r="E106" s="18" t="s">
        <v>1</v>
      </c>
      <c r="F106" s="25">
        <f>IF('Raw Data'!$I$16="","",'Raw Data'!$I$16)</f>
        <v>122.26</v>
      </c>
      <c r="G106" s="45" t="str">
        <f>IF(H106="","",_xlfn.XLOOKUP(H106,'Raw Data'!$P$3:$P$16,'Raw Data'!$Q$3:$Q$16,0,0,1))</f>
        <v>Beau</v>
      </c>
      <c r="H106" s="27" t="str">
        <f>IF('Raw Data'!$I$13="","",'Raw Data'!$I$13)</f>
        <v>Jafar</v>
      </c>
      <c r="I106" s="23" t="str">
        <f t="shared" si="7"/>
        <v>L</v>
      </c>
      <c r="J106" s="23">
        <f t="shared" si="8"/>
        <v>8</v>
      </c>
      <c r="K106" s="23" t="str">
        <f t="shared" si="9"/>
        <v>L</v>
      </c>
      <c r="L106" s="25">
        <f t="shared" si="10"/>
        <v>-0.80000000000001137</v>
      </c>
    </row>
    <row r="107" spans="1:12" x14ac:dyDescent="0.2">
      <c r="A107" s="23">
        <v>9</v>
      </c>
      <c r="B107" s="24" t="str">
        <f>IF('Raw Data'!$I$33="","",'Raw Data'!$I$33)</f>
        <v>Wrong Lever!</v>
      </c>
      <c r="C107" s="45" t="str">
        <f>IF(B107="","",_xlfn.XLOOKUP(B107,'Raw Data'!$P$3:$P$16,'Raw Data'!$Q$3:$Q$16,0,0,1))</f>
        <v>Tom</v>
      </c>
      <c r="D107" s="25">
        <f>IF('Raw Data'!$I$30="","",'Raw Data'!$I$30)</f>
        <v>118.1</v>
      </c>
      <c r="E107" s="18" t="s">
        <v>1</v>
      </c>
      <c r="F107" s="25">
        <f>IF('Raw Data'!$I$27="","",'Raw Data'!$I$27)</f>
        <v>113.3</v>
      </c>
      <c r="G107" s="45" t="str">
        <f>IF(H107="","",_xlfn.XLOOKUP(H107,'Raw Data'!$P$3:$P$16,'Raw Data'!$Q$3:$Q$16,0,0,1))</f>
        <v>Rico</v>
      </c>
      <c r="H107" s="27" t="str">
        <f>IF('Raw Data'!$I$24="","",'Raw Data'!$I$24)</f>
        <v>We're all mad here</v>
      </c>
      <c r="I107" s="23" t="str">
        <f t="shared" si="7"/>
        <v>W</v>
      </c>
      <c r="J107" s="23">
        <f t="shared" si="8"/>
        <v>9</v>
      </c>
      <c r="K107" s="23" t="str">
        <f t="shared" si="9"/>
        <v>L</v>
      </c>
      <c r="L107" s="25">
        <f t="shared" si="10"/>
        <v>4.7999999999999972</v>
      </c>
    </row>
    <row r="108" spans="1:12" x14ac:dyDescent="0.2">
      <c r="A108" s="23">
        <v>9</v>
      </c>
      <c r="B108" s="24" t="str">
        <f>IF('Raw Data'!$I$44="","",'Raw Data'!$I$44)</f>
        <v>Tick Tock the Crocodile</v>
      </c>
      <c r="C108" s="45" t="str">
        <f>IF(B108="","",_xlfn.XLOOKUP(B108,'Raw Data'!$P$3:$P$16,'Raw Data'!$Q$3:$Q$16,0,0,1))</f>
        <v>Jared</v>
      </c>
      <c r="D108" s="25">
        <f>IF('Raw Data'!$I$41="","",'Raw Data'!$I$41)</f>
        <v>99.59</v>
      </c>
      <c r="E108" s="18" t="s">
        <v>1</v>
      </c>
      <c r="F108" s="25">
        <f>IF('Raw Data'!$I$38="","",'Raw Data'!$I$38)</f>
        <v>140.51</v>
      </c>
      <c r="G108" s="45" t="str">
        <f>IF(H108="","",_xlfn.XLOOKUP(H108,'Raw Data'!$P$3:$P$16,'Raw Data'!$Q$3:$Q$16,0,0,1))</f>
        <v>Justin</v>
      </c>
      <c r="H108" s="27" t="str">
        <f>IF('Raw Data'!$I$35="","",'Raw Data'!$I$35)</f>
        <v>The Goob Troop</v>
      </c>
      <c r="I108" s="23" t="str">
        <f t="shared" si="7"/>
        <v>L</v>
      </c>
      <c r="J108" s="23">
        <f t="shared" si="8"/>
        <v>12</v>
      </c>
      <c r="K108" s="23" t="str">
        <f t="shared" si="9"/>
        <v>L</v>
      </c>
      <c r="L108" s="25">
        <f t="shared" si="10"/>
        <v>-40.919999999999987</v>
      </c>
    </row>
    <row r="109" spans="1:12" x14ac:dyDescent="0.2">
      <c r="A109" s="23">
        <v>9</v>
      </c>
      <c r="B109" s="24" t="str">
        <f>IF('Raw Data'!$I$55="","",'Raw Data'!$I$55)</f>
        <v>Stupid Smartass Psycho</v>
      </c>
      <c r="C109" s="45" t="str">
        <f>IF(B109="","",_xlfn.XLOOKUP(B109,'Raw Data'!$P$3:$P$16,'Raw Data'!$Q$3:$Q$16,0,0,1))</f>
        <v>Nate</v>
      </c>
      <c r="D109" s="25">
        <f>IF('Raw Data'!$I$52="","",'Raw Data'!$I$52)</f>
        <v>149.04</v>
      </c>
      <c r="E109" s="18" t="s">
        <v>1</v>
      </c>
      <c r="F109" s="25">
        <f>IF('Raw Data'!$I$49="","",'Raw Data'!$I$49)</f>
        <v>113.27</v>
      </c>
      <c r="G109" s="45" t="str">
        <f>IF(H109="","",_xlfn.XLOOKUP(H109,'Raw Data'!$P$3:$P$16,'Raw Data'!$Q$3:$Q$16,0,0,1))</f>
        <v>Steve</v>
      </c>
      <c r="H109" s="27" t="str">
        <f>IF('Raw Data'!$I$46="","",'Raw Data'!$I$46)</f>
        <v>5 Dozen Eggs by Gaston</v>
      </c>
      <c r="I109" s="23" t="str">
        <f t="shared" si="7"/>
        <v>W</v>
      </c>
      <c r="J109" s="23">
        <f t="shared" si="8"/>
        <v>2</v>
      </c>
      <c r="K109" s="23" t="str">
        <f t="shared" si="9"/>
        <v>W</v>
      </c>
      <c r="L109" s="25">
        <f t="shared" si="10"/>
        <v>35.769999999999996</v>
      </c>
    </row>
    <row r="110" spans="1:12" x14ac:dyDescent="0.2">
      <c r="A110" s="23">
        <v>9</v>
      </c>
      <c r="B110" s="24" t="str">
        <f>IF('Raw Data'!$I$66="","",'Raw Data'!$I$66)</f>
        <v>Aladdin Jazerra</v>
      </c>
      <c r="C110" s="45" t="str">
        <f>IF(B110="","",_xlfn.XLOOKUP(B110,'Raw Data'!$P$3:$P$16,'Raw Data'!$Q$3:$Q$16,0,0,1))</f>
        <v>Ian</v>
      </c>
      <c r="D110" s="25">
        <f>IF('Raw Data'!$I$63="","",'Raw Data'!$I$63)</f>
        <v>134.54</v>
      </c>
      <c r="E110" s="18" t="s">
        <v>1</v>
      </c>
      <c r="F110" s="25">
        <f>IF('Raw Data'!$I$60="","",'Raw Data'!$I$60)</f>
        <v>152.22999999999999</v>
      </c>
      <c r="G110" s="45" t="str">
        <f>IF(H110="","",_xlfn.XLOOKUP(H110,'Raw Data'!$P$3:$P$16,'Raw Data'!$Q$3:$Q$16,0,0,1))</f>
        <v>Dylan</v>
      </c>
      <c r="H110" s="27" t="str">
        <f>IF('Raw Data'!$I$57="","",'Raw Data'!$I$57)</f>
        <v>Herbie's Honkers</v>
      </c>
      <c r="I110" s="23" t="str">
        <f t="shared" si="7"/>
        <v>L</v>
      </c>
      <c r="J110" s="23">
        <f t="shared" si="8"/>
        <v>6</v>
      </c>
      <c r="K110" s="23" t="str">
        <f t="shared" si="9"/>
        <v>W</v>
      </c>
      <c r="L110" s="25">
        <f t="shared" si="10"/>
        <v>-17.689999999999998</v>
      </c>
    </row>
    <row r="111" spans="1:12" x14ac:dyDescent="0.2">
      <c r="A111" s="23">
        <v>10</v>
      </c>
      <c r="B111" s="24" t="str">
        <f>IF('Raw Data'!$J$2="","",'Raw Data'!$J$2)</f>
        <v>SqueakSqueakinSqueakSqueakity</v>
      </c>
      <c r="C111" s="45" t="str">
        <f>IF(B111="","",_xlfn.XLOOKUP(B111,'Raw Data'!$P$3:$P$16,'Raw Data'!$Q$3:$Q$16,0,0,1))</f>
        <v>Dave</v>
      </c>
      <c r="D111" s="25">
        <f>IF('Raw Data'!$J$5="","",'Raw Data'!$J$5)</f>
        <v>111.37</v>
      </c>
      <c r="E111" s="18" t="s">
        <v>1</v>
      </c>
      <c r="F111" s="25">
        <f>IF('Raw Data'!$J$8="","",'Raw Data'!$J$8)</f>
        <v>135.47999999999999</v>
      </c>
      <c r="G111" s="45" t="str">
        <f>IF(H111="","",_xlfn.XLOOKUP(H111,'Raw Data'!$P$3:$P$16,'Raw Data'!$Q$3:$Q$16,0,0,1))</f>
        <v>Nate</v>
      </c>
      <c r="H111" s="26" t="str">
        <f>IF('Raw Data'!$J$11="","",'Raw Data'!$J$11)</f>
        <v>Stupid Smartass Psycho</v>
      </c>
      <c r="I111" s="23" t="str">
        <f t="shared" si="7"/>
        <v>L</v>
      </c>
      <c r="J111" s="23">
        <f t="shared" si="8"/>
        <v>9</v>
      </c>
      <c r="K111" s="23" t="str">
        <f t="shared" si="9"/>
        <v>L</v>
      </c>
      <c r="L111" s="25">
        <f t="shared" si="10"/>
        <v>-24.109999999999985</v>
      </c>
    </row>
    <row r="112" spans="1:12" x14ac:dyDescent="0.2">
      <c r="A112" s="23">
        <v>10</v>
      </c>
      <c r="B112" s="24" t="str">
        <f>IF('Raw Data'!$J$13="","",'Raw Data'!$J$13)</f>
        <v>Prince Abooboo</v>
      </c>
      <c r="C112" s="45" t="str">
        <f>IF(B112="","",_xlfn.XLOOKUP(B112,'Raw Data'!$P$3:$P$16,'Raw Data'!$Q$3:$Q$16,0,0,1))</f>
        <v>Stefan</v>
      </c>
      <c r="D112" s="25">
        <f>IF('Raw Data'!$J$16="","",'Raw Data'!$J$16)</f>
        <v>104.59</v>
      </c>
      <c r="E112" s="18" t="s">
        <v>1</v>
      </c>
      <c r="F112" s="25">
        <f>IF('Raw Data'!$J$19="","",'Raw Data'!$J$19)</f>
        <v>124.8</v>
      </c>
      <c r="G112" s="45" t="str">
        <f>IF(H112="","",_xlfn.XLOOKUP(H112,'Raw Data'!$P$3:$P$16,'Raw Data'!$Q$3:$Q$16,0,0,1))</f>
        <v>Justin</v>
      </c>
      <c r="H112" s="26" t="str">
        <f>IF('Raw Data'!$J$22="","",'Raw Data'!$J$22)</f>
        <v>The Goob Troop</v>
      </c>
      <c r="I112" s="23" t="str">
        <f t="shared" si="7"/>
        <v>L</v>
      </c>
      <c r="J112" s="23">
        <f t="shared" si="8"/>
        <v>11</v>
      </c>
      <c r="K112" s="23" t="str">
        <f t="shared" si="9"/>
        <v>L</v>
      </c>
      <c r="L112" s="25">
        <f t="shared" si="10"/>
        <v>-20.209999999999994</v>
      </c>
    </row>
    <row r="113" spans="1:12" x14ac:dyDescent="0.2">
      <c r="A113" s="23">
        <v>10</v>
      </c>
      <c r="B113" s="24" t="str">
        <f>IF('Raw Data'!$J$24="","",'Raw Data'!$J$24)</f>
        <v>Jafar</v>
      </c>
      <c r="C113" s="45" t="str">
        <f>IF(B113="","",_xlfn.XLOOKUP(B113,'Raw Data'!$P$3:$P$16,'Raw Data'!$Q$3:$Q$16,0,0,1))</f>
        <v>Beau</v>
      </c>
      <c r="D113" s="25">
        <f>IF('Raw Data'!$J$27="","",'Raw Data'!$J$27)</f>
        <v>125.63</v>
      </c>
      <c r="E113" s="18" t="s">
        <v>1</v>
      </c>
      <c r="F113" s="25">
        <f>IF('Raw Data'!$J$30="","",'Raw Data'!$J$30)</f>
        <v>110.25</v>
      </c>
      <c r="G113" s="45" t="str">
        <f>IF(H113="","",_xlfn.XLOOKUP(H113,'Raw Data'!$P$3:$P$16,'Raw Data'!$Q$3:$Q$16,0,0,1))</f>
        <v>Jared</v>
      </c>
      <c r="H113" s="26" t="str">
        <f>IF('Raw Data'!$J$33="","",'Raw Data'!$J$33)</f>
        <v>Tick Tock the Crocodile</v>
      </c>
      <c r="I113" s="23" t="str">
        <f t="shared" si="7"/>
        <v>W</v>
      </c>
      <c r="J113" s="23">
        <f t="shared" si="8"/>
        <v>7</v>
      </c>
      <c r="K113" s="23" t="str">
        <f t="shared" si="9"/>
        <v>L</v>
      </c>
      <c r="L113" s="25">
        <f t="shared" si="10"/>
        <v>15.379999999999995</v>
      </c>
    </row>
    <row r="114" spans="1:12" x14ac:dyDescent="0.2">
      <c r="A114" s="23">
        <v>10</v>
      </c>
      <c r="B114" s="24" t="str">
        <f>IF('Raw Data'!$J$35="","",'Raw Data'!$J$35)</f>
        <v>We're all mad here</v>
      </c>
      <c r="C114" s="45" t="str">
        <f>IF(B114="","",_xlfn.XLOOKUP(B114,'Raw Data'!$P$3:$P$16,'Raw Data'!$Q$3:$Q$16,0,0,1))</f>
        <v>Rico</v>
      </c>
      <c r="D114" s="25">
        <f>IF('Raw Data'!$J$38="","",'Raw Data'!$J$38)</f>
        <v>142.32</v>
      </c>
      <c r="E114" s="18" t="s">
        <v>1</v>
      </c>
      <c r="F114" s="25">
        <f>IF('Raw Data'!$J$41="","",'Raw Data'!$J$41)</f>
        <v>125.67</v>
      </c>
      <c r="G114" s="45" t="str">
        <f>IF(H114="","",_xlfn.XLOOKUP(H114,'Raw Data'!$P$3:$P$16,'Raw Data'!$Q$3:$Q$16,0,0,1))</f>
        <v>Eddie</v>
      </c>
      <c r="H114" s="26" t="str">
        <f>IF('Raw Data'!$J$44="","",'Raw Data'!$J$44)</f>
        <v>The Rescuers vs Medusa</v>
      </c>
      <c r="I114" s="23" t="str">
        <f t="shared" si="7"/>
        <v>W</v>
      </c>
      <c r="J114" s="23">
        <f t="shared" si="8"/>
        <v>3</v>
      </c>
      <c r="K114" s="23" t="str">
        <f t="shared" si="9"/>
        <v>W</v>
      </c>
      <c r="L114" s="25">
        <f t="shared" si="10"/>
        <v>16.649999999999991</v>
      </c>
    </row>
    <row r="115" spans="1:12" x14ac:dyDescent="0.2">
      <c r="A115" s="23">
        <v>10</v>
      </c>
      <c r="B115" s="24" t="str">
        <f>IF('Raw Data'!$J$46="","",'Raw Data'!$J$46)</f>
        <v>Wrong Lever!</v>
      </c>
      <c r="C115" s="45" t="str">
        <f>IF(B115="","",_xlfn.XLOOKUP(B115,'Raw Data'!$P$3:$P$16,'Raw Data'!$Q$3:$Q$16,0,0,1))</f>
        <v>Tom</v>
      </c>
      <c r="D115" s="25">
        <f>IF('Raw Data'!$J$49="","",'Raw Data'!$J$49)</f>
        <v>127.99</v>
      </c>
      <c r="E115" s="18" t="s">
        <v>1</v>
      </c>
      <c r="F115" s="25">
        <f>IF('Raw Data'!$J$52="","",'Raw Data'!$J$52)</f>
        <v>145.30000000000001</v>
      </c>
      <c r="G115" s="45" t="str">
        <f>IF(H115="","",_xlfn.XLOOKUP(H115,'Raw Data'!$P$3:$P$16,'Raw Data'!$Q$3:$Q$16,0,0,1))</f>
        <v>Ian</v>
      </c>
      <c r="H115" s="26" t="str">
        <f>IF('Raw Data'!$J$55="","",'Raw Data'!$J$55)</f>
        <v>Aladdin Jazerra</v>
      </c>
      <c r="I115" s="23" t="str">
        <f t="shared" si="7"/>
        <v>L</v>
      </c>
      <c r="J115" s="23">
        <f t="shared" si="8"/>
        <v>5</v>
      </c>
      <c r="K115" s="23" t="str">
        <f t="shared" si="9"/>
        <v>W</v>
      </c>
      <c r="L115" s="25">
        <f t="shared" si="10"/>
        <v>-17.310000000000016</v>
      </c>
    </row>
    <row r="116" spans="1:12" x14ac:dyDescent="0.2">
      <c r="A116" s="23">
        <v>10</v>
      </c>
      <c r="B116" s="24" t="str">
        <f>IF('Raw Data'!$J$57="","",'Raw Data'!$J$57)</f>
        <v>5 Dozen Eggs by Gaston</v>
      </c>
      <c r="C116" s="45" t="str">
        <f>IF(B116="","",_xlfn.XLOOKUP(B116,'Raw Data'!$P$3:$P$16,'Raw Data'!$Q$3:$Q$16,0,0,1))</f>
        <v>Steve</v>
      </c>
      <c r="D116" s="25">
        <f>IF('Raw Data'!$J$60="","",'Raw Data'!$J$60)</f>
        <v>104.5</v>
      </c>
      <c r="E116" s="18" t="s">
        <v>1</v>
      </c>
      <c r="F116" s="25">
        <f>IF('Raw Data'!$J$63="","",'Raw Data'!$J$63)</f>
        <v>162.53</v>
      </c>
      <c r="G116" s="45" t="str">
        <f>IF(H116="","",_xlfn.XLOOKUP(H116,'Raw Data'!$P$3:$P$16,'Raw Data'!$Q$3:$Q$16,0,0,1))</f>
        <v>Dylan</v>
      </c>
      <c r="H116" s="26" t="str">
        <f>IF('Raw Data'!$J$66="","",'Raw Data'!$J$66)</f>
        <v>Herbie's Honkers</v>
      </c>
      <c r="I116" s="23" t="str">
        <f t="shared" si="7"/>
        <v>L</v>
      </c>
      <c r="J116" s="23">
        <f t="shared" si="8"/>
        <v>12</v>
      </c>
      <c r="K116" s="23" t="str">
        <f t="shared" si="9"/>
        <v>L</v>
      </c>
      <c r="L116" s="25">
        <f t="shared" si="10"/>
        <v>-58.03</v>
      </c>
    </row>
    <row r="117" spans="1:12" x14ac:dyDescent="0.2">
      <c r="A117" s="23">
        <v>10</v>
      </c>
      <c r="B117" s="24" t="str">
        <f>IF('Raw Data'!$J$11="","",'Raw Data'!$J$11)</f>
        <v>Stupid Smartass Psycho</v>
      </c>
      <c r="C117" s="45" t="str">
        <f>IF(B117="","",_xlfn.XLOOKUP(B117,'Raw Data'!$P$3:$P$16,'Raw Data'!$Q$3:$Q$16,0,0,1))</f>
        <v>Nate</v>
      </c>
      <c r="D117" s="25">
        <f>IF('Raw Data'!$J$8="","",'Raw Data'!$J$8)</f>
        <v>135.47999999999999</v>
      </c>
      <c r="E117" s="18" t="s">
        <v>1</v>
      </c>
      <c r="F117" s="25">
        <f>IF('Raw Data'!$J$5="","",'Raw Data'!$J$5)</f>
        <v>111.37</v>
      </c>
      <c r="G117" s="45" t="str">
        <f>IF(H117="","",_xlfn.XLOOKUP(H117,'Raw Data'!$P$3:$P$16,'Raw Data'!$Q$3:$Q$16,0,0,1))</f>
        <v>Dave</v>
      </c>
      <c r="H117" s="27" t="str">
        <f>IF('Raw Data'!$J$2="","",'Raw Data'!$J$2)</f>
        <v>SqueakSqueakinSqueakSqueakity</v>
      </c>
      <c r="I117" s="23" t="str">
        <f t="shared" si="7"/>
        <v>W</v>
      </c>
      <c r="J117" s="23">
        <f t="shared" si="8"/>
        <v>4</v>
      </c>
      <c r="K117" s="23" t="str">
        <f t="shared" si="9"/>
        <v>W</v>
      </c>
      <c r="L117" s="25">
        <f t="shared" si="10"/>
        <v>24.109999999999985</v>
      </c>
    </row>
    <row r="118" spans="1:12" x14ac:dyDescent="0.2">
      <c r="A118" s="23">
        <v>10</v>
      </c>
      <c r="B118" s="24" t="str">
        <f>IF('Raw Data'!$J$22="","",'Raw Data'!$J$22)</f>
        <v>The Goob Troop</v>
      </c>
      <c r="C118" s="45" t="str">
        <f>IF(B118="","",_xlfn.XLOOKUP(B118,'Raw Data'!$P$3:$P$16,'Raw Data'!$Q$3:$Q$16,0,0,1))</f>
        <v>Justin</v>
      </c>
      <c r="D118" s="25">
        <f>IF('Raw Data'!$J$19="","",'Raw Data'!$J$19)</f>
        <v>124.8</v>
      </c>
      <c r="E118" s="18" t="s">
        <v>1</v>
      </c>
      <c r="F118" s="25">
        <f>IF('Raw Data'!$J$16="","",'Raw Data'!$J$16)</f>
        <v>104.59</v>
      </c>
      <c r="G118" s="45" t="str">
        <f>IF(H118="","",_xlfn.XLOOKUP(H118,'Raw Data'!$P$3:$P$16,'Raw Data'!$Q$3:$Q$16,0,0,1))</f>
        <v>Stefan</v>
      </c>
      <c r="H118" s="27" t="str">
        <f>IF('Raw Data'!$J$13="","",'Raw Data'!$J$13)</f>
        <v>Prince Abooboo</v>
      </c>
      <c r="I118" s="23" t="str">
        <f t="shared" si="7"/>
        <v>W</v>
      </c>
      <c r="J118" s="23">
        <f t="shared" si="8"/>
        <v>8</v>
      </c>
      <c r="K118" s="23" t="str">
        <f t="shared" si="9"/>
        <v>L</v>
      </c>
      <c r="L118" s="25">
        <f t="shared" si="10"/>
        <v>20.209999999999994</v>
      </c>
    </row>
    <row r="119" spans="1:12" x14ac:dyDescent="0.2">
      <c r="A119" s="23">
        <v>10</v>
      </c>
      <c r="B119" s="24" t="str">
        <f>IF('Raw Data'!$J$33="","",'Raw Data'!$J$33)</f>
        <v>Tick Tock the Crocodile</v>
      </c>
      <c r="C119" s="45" t="str">
        <f>IF(B119="","",_xlfn.XLOOKUP(B119,'Raw Data'!$P$3:$P$16,'Raw Data'!$Q$3:$Q$16,0,0,1))</f>
        <v>Jared</v>
      </c>
      <c r="D119" s="25">
        <f>IF('Raw Data'!$J$30="","",'Raw Data'!$J$30)</f>
        <v>110.25</v>
      </c>
      <c r="E119" s="18" t="s">
        <v>1</v>
      </c>
      <c r="F119" s="25">
        <f>IF('Raw Data'!$J$27="","",'Raw Data'!$J$27)</f>
        <v>125.63</v>
      </c>
      <c r="G119" s="45" t="str">
        <f>IF(H119="","",_xlfn.XLOOKUP(H119,'Raw Data'!$P$3:$P$16,'Raw Data'!$Q$3:$Q$16,0,0,1))</f>
        <v>Beau</v>
      </c>
      <c r="H119" s="27" t="str">
        <f>IF('Raw Data'!$J$24="","",'Raw Data'!$J$24)</f>
        <v>Jafar</v>
      </c>
      <c r="I119" s="23" t="str">
        <f t="shared" si="7"/>
        <v>L</v>
      </c>
      <c r="J119" s="23">
        <f t="shared" si="8"/>
        <v>10</v>
      </c>
      <c r="K119" s="23" t="str">
        <f t="shared" si="9"/>
        <v>L</v>
      </c>
      <c r="L119" s="25">
        <f t="shared" si="10"/>
        <v>-15.379999999999995</v>
      </c>
    </row>
    <row r="120" spans="1:12" x14ac:dyDescent="0.2">
      <c r="A120" s="23">
        <v>10</v>
      </c>
      <c r="B120" s="24" t="str">
        <f>IF('Raw Data'!$J$44="","",'Raw Data'!$J$44)</f>
        <v>The Rescuers vs Medusa</v>
      </c>
      <c r="C120" s="45" t="str">
        <f>IF(B120="","",_xlfn.XLOOKUP(B120,'Raw Data'!$P$3:$P$16,'Raw Data'!$Q$3:$Q$16,0,0,1))</f>
        <v>Eddie</v>
      </c>
      <c r="D120" s="25">
        <f>IF('Raw Data'!$J$41="","",'Raw Data'!$J$41)</f>
        <v>125.67</v>
      </c>
      <c r="E120" s="18" t="s">
        <v>1</v>
      </c>
      <c r="F120" s="25">
        <f>IF('Raw Data'!$J$38="","",'Raw Data'!$J$38)</f>
        <v>142.32</v>
      </c>
      <c r="G120" s="45" t="str">
        <f>IF(H120="","",_xlfn.XLOOKUP(H120,'Raw Data'!$P$3:$P$16,'Raw Data'!$Q$3:$Q$16,0,0,1))</f>
        <v>Rico</v>
      </c>
      <c r="H120" s="27" t="str">
        <f>IF('Raw Data'!$J$35="","",'Raw Data'!$J$35)</f>
        <v>We're all mad here</v>
      </c>
      <c r="I120" s="23" t="str">
        <f t="shared" si="7"/>
        <v>L</v>
      </c>
      <c r="J120" s="23">
        <f t="shared" si="8"/>
        <v>6</v>
      </c>
      <c r="K120" s="23" t="str">
        <f t="shared" si="9"/>
        <v>W</v>
      </c>
      <c r="L120" s="25">
        <f t="shared" si="10"/>
        <v>-16.649999999999991</v>
      </c>
    </row>
    <row r="121" spans="1:12" x14ac:dyDescent="0.2">
      <c r="A121" s="23">
        <v>10</v>
      </c>
      <c r="B121" s="24" t="str">
        <f>IF('Raw Data'!$J$55="","",'Raw Data'!$J$55)</f>
        <v>Aladdin Jazerra</v>
      </c>
      <c r="C121" s="45" t="str">
        <f>IF(B121="","",_xlfn.XLOOKUP(B121,'Raw Data'!$P$3:$P$16,'Raw Data'!$Q$3:$Q$16,0,0,1))</f>
        <v>Ian</v>
      </c>
      <c r="D121" s="25">
        <f>IF('Raw Data'!$J$52="","",'Raw Data'!$J$52)</f>
        <v>145.30000000000001</v>
      </c>
      <c r="E121" s="18" t="s">
        <v>1</v>
      </c>
      <c r="F121" s="25">
        <f>IF('Raw Data'!$J$49="","",'Raw Data'!$J$49)</f>
        <v>127.99</v>
      </c>
      <c r="G121" s="45" t="str">
        <f>IF(H121="","",_xlfn.XLOOKUP(H121,'Raw Data'!$P$3:$P$16,'Raw Data'!$Q$3:$Q$16,0,0,1))</f>
        <v>Tom</v>
      </c>
      <c r="H121" s="27" t="str">
        <f>IF('Raw Data'!$J$46="","",'Raw Data'!$J$46)</f>
        <v>Wrong Lever!</v>
      </c>
      <c r="I121" s="23" t="str">
        <f t="shared" si="7"/>
        <v>W</v>
      </c>
      <c r="J121" s="23">
        <f t="shared" si="8"/>
        <v>2</v>
      </c>
      <c r="K121" s="23" t="str">
        <f t="shared" si="9"/>
        <v>W</v>
      </c>
      <c r="L121" s="25">
        <f t="shared" si="10"/>
        <v>17.310000000000016</v>
      </c>
    </row>
    <row r="122" spans="1:12" x14ac:dyDescent="0.2">
      <c r="A122" s="23">
        <v>10</v>
      </c>
      <c r="B122" s="24" t="str">
        <f>IF('Raw Data'!$J$66="","",'Raw Data'!$J$66)</f>
        <v>Herbie's Honkers</v>
      </c>
      <c r="C122" s="45" t="str">
        <f>IF(B122="","",_xlfn.XLOOKUP(B122,'Raw Data'!$P$3:$P$16,'Raw Data'!$Q$3:$Q$16,0,0,1))</f>
        <v>Dylan</v>
      </c>
      <c r="D122" s="25">
        <f>IF('Raw Data'!$J$63="","",'Raw Data'!$J$63)</f>
        <v>162.53</v>
      </c>
      <c r="E122" s="18" t="s">
        <v>1</v>
      </c>
      <c r="F122" s="25">
        <f>IF('Raw Data'!$J$60="","",'Raw Data'!$J$60)</f>
        <v>104.5</v>
      </c>
      <c r="G122" s="45" t="str">
        <f>IF(H122="","",_xlfn.XLOOKUP(H122,'Raw Data'!$P$3:$P$16,'Raw Data'!$Q$3:$Q$16,0,0,1))</f>
        <v>Steve</v>
      </c>
      <c r="H122" s="27" t="str">
        <f>IF('Raw Data'!$J$57="","",'Raw Data'!$J$57)</f>
        <v>5 Dozen Eggs by Gaston</v>
      </c>
      <c r="I122" s="23" t="str">
        <f t="shared" si="7"/>
        <v>W</v>
      </c>
      <c r="J122" s="23">
        <f t="shared" si="8"/>
        <v>1</v>
      </c>
      <c r="K122" s="23" t="str">
        <f t="shared" si="9"/>
        <v>W</v>
      </c>
      <c r="L122" s="25">
        <f t="shared" si="10"/>
        <v>58.03</v>
      </c>
    </row>
    <row r="123" spans="1:12" x14ac:dyDescent="0.2">
      <c r="A123" s="23">
        <v>11</v>
      </c>
      <c r="B123" s="24" t="str">
        <f>IF('Raw Data'!$K$2="","",'Raw Data'!$K$2)</f>
        <v>SqueakSqueakinSqueakSqueakity</v>
      </c>
      <c r="C123" s="45" t="str">
        <f>IF(B123="","",_xlfn.XLOOKUP(B123,'Raw Data'!$P$3:$P$16,'Raw Data'!$Q$3:$Q$16,0,0,1))</f>
        <v>Dave</v>
      </c>
      <c r="D123" s="25">
        <f>IF('Raw Data'!$K$5="","",'Raw Data'!$K$5)</f>
        <v>142.21</v>
      </c>
      <c r="E123" s="18" t="s">
        <v>1</v>
      </c>
      <c r="F123" s="25">
        <f>IF('Raw Data'!$K$8="","",'Raw Data'!$K$8)</f>
        <v>120.87</v>
      </c>
      <c r="G123" s="45" t="str">
        <f>IF(H123="","",_xlfn.XLOOKUP(H123,'Raw Data'!$P$3:$P$16,'Raw Data'!$Q$3:$Q$16,0,0,1))</f>
        <v>Beau</v>
      </c>
      <c r="H123" s="26" t="str">
        <f>IF('Raw Data'!$K$11="","",'Raw Data'!$K$11)</f>
        <v>Jafar</v>
      </c>
      <c r="I123" s="23" t="str">
        <f t="shared" si="7"/>
        <v>W</v>
      </c>
      <c r="J123" s="23">
        <f t="shared" si="8"/>
        <v>2</v>
      </c>
      <c r="K123" s="23" t="str">
        <f t="shared" si="9"/>
        <v>W</v>
      </c>
      <c r="L123" s="25">
        <f t="shared" si="10"/>
        <v>21.340000000000003</v>
      </c>
    </row>
    <row r="124" spans="1:12" x14ac:dyDescent="0.2">
      <c r="A124" s="23">
        <v>11</v>
      </c>
      <c r="B124" s="24" t="str">
        <f>IF('Raw Data'!$K$13="","",'Raw Data'!$K$13)</f>
        <v>Prince Abooboo</v>
      </c>
      <c r="C124" s="45" t="str">
        <f>IF(B124="","",_xlfn.XLOOKUP(B124,'Raw Data'!$P$3:$P$16,'Raw Data'!$Q$3:$Q$16,0,0,1))</f>
        <v>Stefan</v>
      </c>
      <c r="D124" s="25">
        <f>IF('Raw Data'!$K$16="","",'Raw Data'!$K$16)</f>
        <v>159.81</v>
      </c>
      <c r="E124" s="18" t="s">
        <v>1</v>
      </c>
      <c r="F124" s="25">
        <f>IF('Raw Data'!$K$19="","",'Raw Data'!$K$19)</f>
        <v>130.12</v>
      </c>
      <c r="G124" s="45" t="str">
        <f>IF(H124="","",_xlfn.XLOOKUP(H124,'Raw Data'!$P$3:$P$16,'Raw Data'!$Q$3:$Q$16,0,0,1))</f>
        <v>Dylan</v>
      </c>
      <c r="H124" s="26" t="str">
        <f>IF('Raw Data'!$K$22="","",'Raw Data'!$K$22)</f>
        <v>Herbie's Honkers</v>
      </c>
      <c r="I124" s="23" t="str">
        <f t="shared" si="7"/>
        <v>W</v>
      </c>
      <c r="J124" s="23">
        <f t="shared" si="8"/>
        <v>1</v>
      </c>
      <c r="K124" s="23" t="str">
        <f t="shared" si="9"/>
        <v>W</v>
      </c>
      <c r="L124" s="25">
        <f t="shared" si="10"/>
        <v>29.689999999999998</v>
      </c>
    </row>
    <row r="125" spans="1:12" x14ac:dyDescent="0.2">
      <c r="A125" s="23">
        <v>11</v>
      </c>
      <c r="B125" s="24" t="str">
        <f>IF('Raw Data'!$K$24="","",'Raw Data'!$K$24)</f>
        <v>We're all mad here</v>
      </c>
      <c r="C125" s="45" t="str">
        <f>IF(B125="","",_xlfn.XLOOKUP(B125,'Raw Data'!$P$3:$P$16,'Raw Data'!$Q$3:$Q$16,0,0,1))</f>
        <v>Rico</v>
      </c>
      <c r="D125" s="25">
        <f>IF('Raw Data'!$K$27="","",'Raw Data'!$K$27)</f>
        <v>106.59</v>
      </c>
      <c r="E125" s="18" t="s">
        <v>1</v>
      </c>
      <c r="F125" s="25">
        <f>IF('Raw Data'!$K$30="","",'Raw Data'!$K$30)</f>
        <v>119.39</v>
      </c>
      <c r="G125" s="45" t="str">
        <f>IF(H125="","",_xlfn.XLOOKUP(H125,'Raw Data'!$P$3:$P$16,'Raw Data'!$Q$3:$Q$16,0,0,1))</f>
        <v>Nate</v>
      </c>
      <c r="H125" s="26" t="str">
        <f>IF('Raw Data'!$K$33="","",'Raw Data'!$K$33)</f>
        <v>Stupid Smartass Psycho</v>
      </c>
      <c r="I125" s="23" t="str">
        <f t="shared" si="7"/>
        <v>L</v>
      </c>
      <c r="J125" s="23">
        <f t="shared" si="8"/>
        <v>10</v>
      </c>
      <c r="K125" s="23" t="str">
        <f t="shared" si="9"/>
        <v>L</v>
      </c>
      <c r="L125" s="25">
        <f t="shared" si="10"/>
        <v>-12.799999999999997</v>
      </c>
    </row>
    <row r="126" spans="1:12" x14ac:dyDescent="0.2">
      <c r="A126" s="23">
        <v>11</v>
      </c>
      <c r="B126" s="24" t="str">
        <f>IF('Raw Data'!$K$35="","",'Raw Data'!$K$35)</f>
        <v>The Goob Troop</v>
      </c>
      <c r="C126" s="45" t="str">
        <f>IF(B126="","",_xlfn.XLOOKUP(B126,'Raw Data'!$P$3:$P$16,'Raw Data'!$Q$3:$Q$16,0,0,1))</f>
        <v>Justin</v>
      </c>
      <c r="D126" s="25">
        <f>IF('Raw Data'!$K$38="","",'Raw Data'!$K$38)</f>
        <v>109.27</v>
      </c>
      <c r="E126" s="18" t="s">
        <v>1</v>
      </c>
      <c r="F126" s="25">
        <f>IF('Raw Data'!$K$41="","",'Raw Data'!$K$41)</f>
        <v>108.07</v>
      </c>
      <c r="G126" s="45" t="str">
        <f>IF(H126="","",_xlfn.XLOOKUP(H126,'Raw Data'!$P$3:$P$16,'Raw Data'!$Q$3:$Q$16,0,0,1))</f>
        <v>Tom</v>
      </c>
      <c r="H126" s="26" t="str">
        <f>IF('Raw Data'!$K$44="","",'Raw Data'!$K$44)</f>
        <v>Wrong Lever!</v>
      </c>
      <c r="I126" s="23" t="str">
        <f t="shared" si="7"/>
        <v>W</v>
      </c>
      <c r="J126" s="23">
        <f t="shared" si="8"/>
        <v>8</v>
      </c>
      <c r="K126" s="23" t="str">
        <f t="shared" si="9"/>
        <v>L</v>
      </c>
      <c r="L126" s="25">
        <f t="shared" si="10"/>
        <v>1.2000000000000028</v>
      </c>
    </row>
    <row r="127" spans="1:12" x14ac:dyDescent="0.2">
      <c r="A127" s="23">
        <v>11</v>
      </c>
      <c r="B127" s="24" t="str">
        <f>IF('Raw Data'!$K$46="","",'Raw Data'!$K$46)</f>
        <v>Tick Tock the Crocodile</v>
      </c>
      <c r="C127" s="45" t="str">
        <f>IF(B127="","",_xlfn.XLOOKUP(B127,'Raw Data'!$P$3:$P$16,'Raw Data'!$Q$3:$Q$16,0,0,1))</f>
        <v>Jared</v>
      </c>
      <c r="D127" s="25">
        <f>IF('Raw Data'!$K$49="","",'Raw Data'!$K$49)</f>
        <v>136.69</v>
      </c>
      <c r="E127" s="18" t="s">
        <v>1</v>
      </c>
      <c r="F127" s="25">
        <f>IF('Raw Data'!$K$52="","",'Raw Data'!$K$52)</f>
        <v>120.97</v>
      </c>
      <c r="G127" s="45" t="str">
        <f>IF(H127="","",_xlfn.XLOOKUP(H127,'Raw Data'!$P$3:$P$16,'Raw Data'!$Q$3:$Q$16,0,0,1))</f>
        <v>Steve</v>
      </c>
      <c r="H127" s="26" t="str">
        <f>IF('Raw Data'!$K$55="","",'Raw Data'!$K$55)</f>
        <v>5 Dozen Eggs by Gaston</v>
      </c>
      <c r="I127" s="23" t="str">
        <f t="shared" si="7"/>
        <v>W</v>
      </c>
      <c r="J127" s="23">
        <f t="shared" si="8"/>
        <v>3</v>
      </c>
      <c r="K127" s="23" t="str">
        <f t="shared" si="9"/>
        <v>W</v>
      </c>
      <c r="L127" s="25">
        <f t="shared" si="10"/>
        <v>15.719999999999999</v>
      </c>
    </row>
    <row r="128" spans="1:12" x14ac:dyDescent="0.2">
      <c r="A128" s="23">
        <v>11</v>
      </c>
      <c r="B128" s="24" t="str">
        <f>IF('Raw Data'!$K$57="","",'Raw Data'!$K$57)</f>
        <v>Aladdin Jazerra</v>
      </c>
      <c r="C128" s="45" t="str">
        <f>IF(B128="","",_xlfn.XLOOKUP(B128,'Raw Data'!$P$3:$P$16,'Raw Data'!$Q$3:$Q$16,0,0,1))</f>
        <v>Ian</v>
      </c>
      <c r="D128" s="25">
        <f>IF('Raw Data'!$K$60="","",'Raw Data'!$K$60)</f>
        <v>87.7</v>
      </c>
      <c r="E128" s="18" t="s">
        <v>1</v>
      </c>
      <c r="F128" s="25">
        <f>IF('Raw Data'!$K$63="","",'Raw Data'!$K$63)</f>
        <v>81.55</v>
      </c>
      <c r="G128" s="45" t="str">
        <f>IF(H128="","",_xlfn.XLOOKUP(H128,'Raw Data'!$P$3:$P$16,'Raw Data'!$Q$3:$Q$16,0,0,1))</f>
        <v>Eddie</v>
      </c>
      <c r="H128" s="26" t="str">
        <f>IF('Raw Data'!$K$66="","",'Raw Data'!$K$66)</f>
        <v>The Rescuers vs Medusa</v>
      </c>
      <c r="I128" s="23" t="str">
        <f t="shared" si="7"/>
        <v>W</v>
      </c>
      <c r="J128" s="23">
        <f t="shared" si="8"/>
        <v>11</v>
      </c>
      <c r="K128" s="23" t="str">
        <f t="shared" si="9"/>
        <v>L</v>
      </c>
      <c r="L128" s="25">
        <f t="shared" si="10"/>
        <v>6.1500000000000057</v>
      </c>
    </row>
    <row r="129" spans="1:12" x14ac:dyDescent="0.2">
      <c r="A129" s="23">
        <v>11</v>
      </c>
      <c r="B129" s="24" t="str">
        <f>IF('Raw Data'!$K$11="","",'Raw Data'!$K$11)</f>
        <v>Jafar</v>
      </c>
      <c r="C129" s="45" t="str">
        <f>IF(B129="","",_xlfn.XLOOKUP(B129,'Raw Data'!$P$3:$P$16,'Raw Data'!$Q$3:$Q$16,0,0,1))</f>
        <v>Beau</v>
      </c>
      <c r="D129" s="25">
        <f>IF('Raw Data'!$K$8="","",'Raw Data'!$K$8)</f>
        <v>120.87</v>
      </c>
      <c r="E129" s="18" t="s">
        <v>1</v>
      </c>
      <c r="F129" s="25">
        <f>IF('Raw Data'!$K$5="","",'Raw Data'!$K$5)</f>
        <v>142.21</v>
      </c>
      <c r="G129" s="45" t="str">
        <f>IF(H129="","",_xlfn.XLOOKUP(H129,'Raw Data'!$P$3:$P$16,'Raw Data'!$Q$3:$Q$16,0,0,1))</f>
        <v>Dave</v>
      </c>
      <c r="H129" s="27" t="str">
        <f>IF('Raw Data'!$K$2="","",'Raw Data'!$K$2)</f>
        <v>SqueakSqueakinSqueakSqueakity</v>
      </c>
      <c r="I129" s="23" t="str">
        <f t="shared" si="7"/>
        <v>L</v>
      </c>
      <c r="J129" s="23">
        <f t="shared" si="8"/>
        <v>6</v>
      </c>
      <c r="K129" s="23" t="str">
        <f t="shared" si="9"/>
        <v>W</v>
      </c>
      <c r="L129" s="25">
        <f t="shared" si="10"/>
        <v>-21.340000000000003</v>
      </c>
    </row>
    <row r="130" spans="1:12" x14ac:dyDescent="0.2">
      <c r="A130" s="23">
        <v>11</v>
      </c>
      <c r="B130" s="24" t="str">
        <f>IF('Raw Data'!$K$22="","",'Raw Data'!$K$22)</f>
        <v>Herbie's Honkers</v>
      </c>
      <c r="C130" s="45" t="str">
        <f>IF(B130="","",_xlfn.XLOOKUP(B130,'Raw Data'!$P$3:$P$16,'Raw Data'!$Q$3:$Q$16,0,0,1))</f>
        <v>Dylan</v>
      </c>
      <c r="D130" s="25">
        <f>IF('Raw Data'!$K$19="","",'Raw Data'!$K$19)</f>
        <v>130.12</v>
      </c>
      <c r="E130" s="18" t="s">
        <v>1</v>
      </c>
      <c r="F130" s="25">
        <f>IF('Raw Data'!$K$16="","",'Raw Data'!$K$16)</f>
        <v>159.81</v>
      </c>
      <c r="G130" s="45" t="str">
        <f>IF(H130="","",_xlfn.XLOOKUP(H130,'Raw Data'!$P$3:$P$16,'Raw Data'!$Q$3:$Q$16,0,0,1))</f>
        <v>Stefan</v>
      </c>
      <c r="H130" s="27" t="str">
        <f>IF('Raw Data'!$K$13="","",'Raw Data'!$K$13)</f>
        <v>Prince Abooboo</v>
      </c>
      <c r="I130" s="23" t="str">
        <f t="shared" si="7"/>
        <v>L</v>
      </c>
      <c r="J130" s="23">
        <f t="shared" si="8"/>
        <v>4</v>
      </c>
      <c r="K130" s="23" t="str">
        <f t="shared" si="9"/>
        <v>W</v>
      </c>
      <c r="L130" s="25">
        <f t="shared" si="10"/>
        <v>-29.689999999999998</v>
      </c>
    </row>
    <row r="131" spans="1:12" x14ac:dyDescent="0.2">
      <c r="A131" s="23">
        <v>11</v>
      </c>
      <c r="B131" s="24" t="str">
        <f>IF('Raw Data'!$K$33="","",'Raw Data'!$K$33)</f>
        <v>Stupid Smartass Psycho</v>
      </c>
      <c r="C131" s="45" t="str">
        <f>IF(B131="","",_xlfn.XLOOKUP(B131,'Raw Data'!$P$3:$P$16,'Raw Data'!$Q$3:$Q$16,0,0,1))</f>
        <v>Nate</v>
      </c>
      <c r="D131" s="25">
        <f>IF('Raw Data'!$K$30="","",'Raw Data'!$K$30)</f>
        <v>119.39</v>
      </c>
      <c r="E131" s="18" t="s">
        <v>1</v>
      </c>
      <c r="F131" s="25">
        <f>IF('Raw Data'!$K$27="","",'Raw Data'!$K$27)</f>
        <v>106.59</v>
      </c>
      <c r="G131" s="45" t="str">
        <f>IF(H131="","",_xlfn.XLOOKUP(H131,'Raw Data'!$P$3:$P$16,'Raw Data'!$Q$3:$Q$16,0,0,1))</f>
        <v>Rico</v>
      </c>
      <c r="H131" s="27" t="str">
        <f>IF('Raw Data'!$K$24="","",'Raw Data'!$K$24)</f>
        <v>We're all mad here</v>
      </c>
      <c r="I131" s="23" t="str">
        <f t="shared" si="7"/>
        <v>W</v>
      </c>
      <c r="J131" s="23">
        <f t="shared" si="8"/>
        <v>7</v>
      </c>
      <c r="K131" s="23" t="str">
        <f t="shared" si="9"/>
        <v>L</v>
      </c>
      <c r="L131" s="25">
        <f t="shared" si="10"/>
        <v>12.799999999999997</v>
      </c>
    </row>
    <row r="132" spans="1:12" x14ac:dyDescent="0.2">
      <c r="A132" s="23">
        <v>11</v>
      </c>
      <c r="B132" s="24" t="str">
        <f>IF('Raw Data'!$K$44="","",'Raw Data'!$K$44)</f>
        <v>Wrong Lever!</v>
      </c>
      <c r="C132" s="45" t="str">
        <f>IF(B132="","",_xlfn.XLOOKUP(B132,'Raw Data'!$P$3:$P$16,'Raw Data'!$Q$3:$Q$16,0,0,1))</f>
        <v>Tom</v>
      </c>
      <c r="D132" s="25">
        <f>IF('Raw Data'!$K$41="","",'Raw Data'!$K$41)</f>
        <v>108.07</v>
      </c>
      <c r="E132" s="18" t="s">
        <v>1</v>
      </c>
      <c r="F132" s="25">
        <f>IF('Raw Data'!$K$38="","",'Raw Data'!$K$38)</f>
        <v>109.27</v>
      </c>
      <c r="G132" s="45" t="str">
        <f>IF(H132="","",_xlfn.XLOOKUP(H132,'Raw Data'!$P$3:$P$16,'Raw Data'!$Q$3:$Q$16,0,0,1))</f>
        <v>Justin</v>
      </c>
      <c r="H132" s="27" t="str">
        <f>IF('Raw Data'!$K$35="","",'Raw Data'!$K$35)</f>
        <v>The Goob Troop</v>
      </c>
      <c r="I132" s="23" t="str">
        <f t="shared" ref="I132:I170" si="11">IF(B132="","",IF(D132&gt;F132,"W",IF(F132&gt;D132,"L","T")))</f>
        <v>L</v>
      </c>
      <c r="J132" s="23">
        <f t="shared" ref="J132:J195" si="12">IF(B132="","",IF(A132&gt;14,"N/A",IF(B132="","",COUNTIFS($A$3:$A$173,$A132,$D$3:$D$173,"&gt;"&amp;D132)+1)))</f>
        <v>9</v>
      </c>
      <c r="K132" s="23" t="str">
        <f t="shared" ref="K132:K195" si="13">IF(B132="","",IF(A132&gt;14,"N/A",IF(J132&lt;7,"W","L")))</f>
        <v>L</v>
      </c>
      <c r="L132" s="25">
        <f t="shared" ref="L132:L195" si="14">IF(B132="","",IFERROR(D132-F132,""))</f>
        <v>-1.2000000000000028</v>
      </c>
    </row>
    <row r="133" spans="1:12" x14ac:dyDescent="0.2">
      <c r="A133" s="23">
        <v>11</v>
      </c>
      <c r="B133" s="24" t="str">
        <f>IF('Raw Data'!$K$55="","",'Raw Data'!$K$55)</f>
        <v>5 Dozen Eggs by Gaston</v>
      </c>
      <c r="C133" s="45" t="str">
        <f>IF(B133="","",_xlfn.XLOOKUP(B133,'Raw Data'!$P$3:$P$16,'Raw Data'!$Q$3:$Q$16,0,0,1))</f>
        <v>Steve</v>
      </c>
      <c r="D133" s="25">
        <f>IF('Raw Data'!$K$52="","",'Raw Data'!$K$52)</f>
        <v>120.97</v>
      </c>
      <c r="E133" s="18" t="s">
        <v>1</v>
      </c>
      <c r="F133" s="25">
        <f>IF('Raw Data'!$K$49="","",'Raw Data'!$K$49)</f>
        <v>136.69</v>
      </c>
      <c r="G133" s="45" t="str">
        <f>IF(H133="","",_xlfn.XLOOKUP(H133,'Raw Data'!$P$3:$P$16,'Raw Data'!$Q$3:$Q$16,0,0,1))</f>
        <v>Jared</v>
      </c>
      <c r="H133" s="27" t="str">
        <f>IF('Raw Data'!$K$46="","",'Raw Data'!$K$46)</f>
        <v>Tick Tock the Crocodile</v>
      </c>
      <c r="I133" s="23" t="str">
        <f t="shared" si="11"/>
        <v>L</v>
      </c>
      <c r="J133" s="23">
        <f t="shared" si="12"/>
        <v>5</v>
      </c>
      <c r="K133" s="23" t="str">
        <f t="shared" si="13"/>
        <v>W</v>
      </c>
      <c r="L133" s="25">
        <f t="shared" si="14"/>
        <v>-15.719999999999999</v>
      </c>
    </row>
    <row r="134" spans="1:12" x14ac:dyDescent="0.2">
      <c r="A134" s="23">
        <v>11</v>
      </c>
      <c r="B134" s="24" t="str">
        <f>IF('Raw Data'!$K$66="","",'Raw Data'!$K$66)</f>
        <v>The Rescuers vs Medusa</v>
      </c>
      <c r="C134" s="45" t="str">
        <f>IF(B134="","",_xlfn.XLOOKUP(B134,'Raw Data'!$P$3:$P$16,'Raw Data'!$Q$3:$Q$16,0,0,1))</f>
        <v>Eddie</v>
      </c>
      <c r="D134" s="25">
        <f>IF('Raw Data'!$K$63="","",'Raw Data'!$K$63)</f>
        <v>81.55</v>
      </c>
      <c r="E134" s="18" t="s">
        <v>1</v>
      </c>
      <c r="F134" s="25">
        <f>IF('Raw Data'!$K$60="","",'Raw Data'!$K$60)</f>
        <v>87.7</v>
      </c>
      <c r="G134" s="45" t="str">
        <f>IF(H134="","",_xlfn.XLOOKUP(H134,'Raw Data'!$P$3:$P$16,'Raw Data'!$Q$3:$Q$16,0,0,1))</f>
        <v>Ian</v>
      </c>
      <c r="H134" s="27" t="str">
        <f>IF('Raw Data'!$K$57="","",'Raw Data'!$K$57)</f>
        <v>Aladdin Jazerra</v>
      </c>
      <c r="I134" s="23" t="str">
        <f t="shared" si="11"/>
        <v>L</v>
      </c>
      <c r="J134" s="23">
        <f t="shared" si="12"/>
        <v>12</v>
      </c>
      <c r="K134" s="23" t="str">
        <f t="shared" si="13"/>
        <v>L</v>
      </c>
      <c r="L134" s="25">
        <f t="shared" si="14"/>
        <v>-6.1500000000000057</v>
      </c>
    </row>
    <row r="135" spans="1:12" x14ac:dyDescent="0.2">
      <c r="A135" s="23">
        <v>12</v>
      </c>
      <c r="B135" s="24" t="str">
        <f>IF('Raw Data'!$L$2="","",'Raw Data'!$L$2)</f>
        <v>SqueakSqueakinSqueakSqueakity</v>
      </c>
      <c r="C135" s="45" t="str">
        <f>IF(B135="","",_xlfn.XLOOKUP(B135,'Raw Data'!$P$3:$P$16,'Raw Data'!$Q$3:$Q$16,0,0,1))</f>
        <v>Dave</v>
      </c>
      <c r="D135" s="25">
        <f>IF('Raw Data'!$L$5="","",'Raw Data'!$L$5)</f>
        <v>161.09</v>
      </c>
      <c r="E135" s="18" t="s">
        <v>1</v>
      </c>
      <c r="F135" s="25">
        <f>IF('Raw Data'!$L$8="","",'Raw Data'!$L$8)</f>
        <v>127.95</v>
      </c>
      <c r="G135" s="45" t="str">
        <f>IF(H135="","",_xlfn.XLOOKUP(H135,'Raw Data'!$P$3:$P$16,'Raw Data'!$Q$3:$Q$16,0,0,1))</f>
        <v>Ian</v>
      </c>
      <c r="H135" s="26" t="str">
        <f>IF('Raw Data'!$L$11="","",'Raw Data'!$L$11)</f>
        <v>Aladdin Jazerra</v>
      </c>
      <c r="I135" s="23" t="str">
        <f t="shared" si="11"/>
        <v>W</v>
      </c>
      <c r="J135" s="23">
        <f t="shared" si="12"/>
        <v>1</v>
      </c>
      <c r="K135" s="23" t="str">
        <f t="shared" si="13"/>
        <v>W</v>
      </c>
      <c r="L135" s="25">
        <f t="shared" si="14"/>
        <v>33.14</v>
      </c>
    </row>
    <row r="136" spans="1:12" x14ac:dyDescent="0.2">
      <c r="A136" s="23">
        <v>12</v>
      </c>
      <c r="B136" s="24" t="str">
        <f>IF('Raw Data'!$L$13="","",'Raw Data'!$L$13)</f>
        <v>Prince Abooboo</v>
      </c>
      <c r="C136" s="45" t="str">
        <f>IF(B136="","",_xlfn.XLOOKUP(B136,'Raw Data'!$P$3:$P$16,'Raw Data'!$Q$3:$Q$16,0,0,1))</f>
        <v>Stefan</v>
      </c>
      <c r="D136" s="25">
        <f>IF('Raw Data'!$L$16="","",'Raw Data'!$L$16)</f>
        <v>122.31</v>
      </c>
      <c r="E136" s="18" t="s">
        <v>1</v>
      </c>
      <c r="F136" s="25">
        <f>IF('Raw Data'!$L$19="","",'Raw Data'!$L$19)</f>
        <v>108.73</v>
      </c>
      <c r="G136" s="45" t="str">
        <f>IF(H136="","",_xlfn.XLOOKUP(H136,'Raw Data'!$P$3:$P$16,'Raw Data'!$Q$3:$Q$16,0,0,1))</f>
        <v>Tom</v>
      </c>
      <c r="H136" s="26" t="str">
        <f>IF('Raw Data'!$L$22="","",'Raw Data'!$L$22)</f>
        <v>Wrong Lever!</v>
      </c>
      <c r="I136" s="23" t="str">
        <f t="shared" si="11"/>
        <v>W</v>
      </c>
      <c r="J136" s="23">
        <f t="shared" si="12"/>
        <v>6</v>
      </c>
      <c r="K136" s="23" t="str">
        <f t="shared" si="13"/>
        <v>W</v>
      </c>
      <c r="L136" s="25">
        <f t="shared" si="14"/>
        <v>13.579999999999998</v>
      </c>
    </row>
    <row r="137" spans="1:12" x14ac:dyDescent="0.2">
      <c r="A137" s="23">
        <v>12</v>
      </c>
      <c r="B137" s="24" t="str">
        <f>IF('Raw Data'!$L$24="","",'Raw Data'!$L$24)</f>
        <v>Jafar</v>
      </c>
      <c r="C137" s="45" t="str">
        <f>IF(B137="","",_xlfn.XLOOKUP(B137,'Raw Data'!$P$3:$P$16,'Raw Data'!$Q$3:$Q$16,0,0,1))</f>
        <v>Beau</v>
      </c>
      <c r="D137" s="25">
        <f>IF('Raw Data'!$L$27="","",'Raw Data'!$L$27)</f>
        <v>136.56</v>
      </c>
      <c r="E137" s="18" t="s">
        <v>1</v>
      </c>
      <c r="F137" s="25">
        <f>IF('Raw Data'!$L$30="","",'Raw Data'!$L$30)</f>
        <v>121.84</v>
      </c>
      <c r="G137" s="45" t="str">
        <f>IF(H137="","",_xlfn.XLOOKUP(H137,'Raw Data'!$P$3:$P$16,'Raw Data'!$Q$3:$Q$16,0,0,1))</f>
        <v>Justin</v>
      </c>
      <c r="H137" s="26" t="str">
        <f>IF('Raw Data'!$L$33="","",'Raw Data'!$L$33)</f>
        <v>The Goob Troop</v>
      </c>
      <c r="I137" s="23" t="str">
        <f t="shared" si="11"/>
        <v>W</v>
      </c>
      <c r="J137" s="23">
        <f t="shared" si="12"/>
        <v>4</v>
      </c>
      <c r="K137" s="23" t="str">
        <f t="shared" si="13"/>
        <v>W</v>
      </c>
      <c r="L137" s="25">
        <f t="shared" si="14"/>
        <v>14.719999999999999</v>
      </c>
    </row>
    <row r="138" spans="1:12" x14ac:dyDescent="0.2">
      <c r="A138" s="23">
        <v>12</v>
      </c>
      <c r="B138" s="24" t="str">
        <f>IF('Raw Data'!$L$35="","",'Raw Data'!$L$35)</f>
        <v>We're all mad here</v>
      </c>
      <c r="C138" s="45" t="str">
        <f>IF(B138="","",_xlfn.XLOOKUP(B138,'Raw Data'!$P$3:$P$16,'Raw Data'!$Q$3:$Q$16,0,0,1))</f>
        <v>Rico</v>
      </c>
      <c r="D138" s="25">
        <f>IF('Raw Data'!$L$38="","",'Raw Data'!$L$38)</f>
        <v>103.93</v>
      </c>
      <c r="E138" s="18" t="s">
        <v>1</v>
      </c>
      <c r="F138" s="25">
        <f>IF('Raw Data'!$L$41="","",'Raw Data'!$L$41)</f>
        <v>100.49</v>
      </c>
      <c r="G138" s="45" t="str">
        <f>IF(H138="","",_xlfn.XLOOKUP(H138,'Raw Data'!$P$3:$P$16,'Raw Data'!$Q$3:$Q$16,0,0,1))</f>
        <v>Jared</v>
      </c>
      <c r="H138" s="26" t="str">
        <f>IF('Raw Data'!$L$44="","",'Raw Data'!$L$44)</f>
        <v>Tick Tock the Crocodile</v>
      </c>
      <c r="I138" s="23" t="str">
        <f t="shared" si="11"/>
        <v>W</v>
      </c>
      <c r="J138" s="23">
        <f t="shared" si="12"/>
        <v>11</v>
      </c>
      <c r="K138" s="23" t="str">
        <f t="shared" si="13"/>
        <v>L</v>
      </c>
      <c r="L138" s="25">
        <f t="shared" si="14"/>
        <v>3.4400000000000119</v>
      </c>
    </row>
    <row r="139" spans="1:12" x14ac:dyDescent="0.2">
      <c r="A139" s="23">
        <v>12</v>
      </c>
      <c r="B139" s="24" t="str">
        <f>IF('Raw Data'!$L$46="","",'Raw Data'!$L$46)</f>
        <v>5 Dozen Eggs by Gaston</v>
      </c>
      <c r="C139" s="45" t="str">
        <f>IF(B139="","",_xlfn.XLOOKUP(B139,'Raw Data'!$P$3:$P$16,'Raw Data'!$Q$3:$Q$16,0,0,1))</f>
        <v>Steve</v>
      </c>
      <c r="D139" s="25">
        <f>IF('Raw Data'!$L$49="","",'Raw Data'!$L$49)</f>
        <v>142.72999999999999</v>
      </c>
      <c r="E139" s="18" t="s">
        <v>1</v>
      </c>
      <c r="F139" s="25">
        <f>IF('Raw Data'!$L$52="","",'Raw Data'!$L$52)</f>
        <v>138.38999999999999</v>
      </c>
      <c r="G139" s="45" t="str">
        <f>IF(H139="","",_xlfn.XLOOKUP(H139,'Raw Data'!$P$3:$P$16,'Raw Data'!$Q$3:$Q$16,0,0,1))</f>
        <v>Eddie</v>
      </c>
      <c r="H139" s="26" t="str">
        <f>IF('Raw Data'!$L$55="","",'Raw Data'!$L$55)</f>
        <v>The Rescuers vs Medusa</v>
      </c>
      <c r="I139" s="23" t="str">
        <f t="shared" si="11"/>
        <v>W</v>
      </c>
      <c r="J139" s="23">
        <f t="shared" si="12"/>
        <v>2</v>
      </c>
      <c r="K139" s="23" t="str">
        <f t="shared" si="13"/>
        <v>W</v>
      </c>
      <c r="L139" s="25">
        <f t="shared" si="14"/>
        <v>4.3400000000000034</v>
      </c>
    </row>
    <row r="140" spans="1:12" x14ac:dyDescent="0.2">
      <c r="A140" s="23">
        <v>12</v>
      </c>
      <c r="B140" s="24" t="str">
        <f>IF('Raw Data'!$L$57="","",'Raw Data'!$L$57)</f>
        <v>Herbie's Honkers</v>
      </c>
      <c r="C140" s="45" t="str">
        <f>IF(B140="","",_xlfn.XLOOKUP(B140,'Raw Data'!$P$3:$P$16,'Raw Data'!$Q$3:$Q$16,0,0,1))</f>
        <v>Dylan</v>
      </c>
      <c r="D140" s="25">
        <f>IF('Raw Data'!$L$60="","",'Raw Data'!$L$60)</f>
        <v>121.05</v>
      </c>
      <c r="E140" s="18" t="s">
        <v>1</v>
      </c>
      <c r="F140" s="25">
        <f>IF('Raw Data'!$L$63="","",'Raw Data'!$L$63)</f>
        <v>107.76</v>
      </c>
      <c r="G140" s="45" t="str">
        <f>IF(H140="","",_xlfn.XLOOKUP(H140,'Raw Data'!$P$3:$P$16,'Raw Data'!$Q$3:$Q$16,0,0,1))</f>
        <v>Nate</v>
      </c>
      <c r="H140" s="26" t="str">
        <f>IF('Raw Data'!$L$66="","",'Raw Data'!$L$66)</f>
        <v>Stupid Smartass Psycho</v>
      </c>
      <c r="I140" s="23" t="str">
        <f t="shared" si="11"/>
        <v>W</v>
      </c>
      <c r="J140" s="23">
        <f t="shared" si="12"/>
        <v>8</v>
      </c>
      <c r="K140" s="23" t="str">
        <f t="shared" si="13"/>
        <v>L</v>
      </c>
      <c r="L140" s="25">
        <f t="shared" si="14"/>
        <v>13.289999999999992</v>
      </c>
    </row>
    <row r="141" spans="1:12" x14ac:dyDescent="0.2">
      <c r="A141" s="23">
        <v>12</v>
      </c>
      <c r="B141" s="24" t="str">
        <f>IF('Raw Data'!$L$11="","",'Raw Data'!$L$11)</f>
        <v>Aladdin Jazerra</v>
      </c>
      <c r="C141" s="45" t="str">
        <f>IF(B141="","",_xlfn.XLOOKUP(B141,'Raw Data'!$P$3:$P$16,'Raw Data'!$Q$3:$Q$16,0,0,1))</f>
        <v>Ian</v>
      </c>
      <c r="D141" s="25">
        <f>IF('Raw Data'!$L$8="","",'Raw Data'!$L$8)</f>
        <v>127.95</v>
      </c>
      <c r="E141" s="18" t="s">
        <v>1</v>
      </c>
      <c r="F141" s="25">
        <f>IF('Raw Data'!$L$5="","",'Raw Data'!$L$5)</f>
        <v>161.09</v>
      </c>
      <c r="G141" s="45" t="str">
        <f>IF(H141="","",_xlfn.XLOOKUP(H141,'Raw Data'!$P$3:$P$16,'Raw Data'!$Q$3:$Q$16,0,0,1))</f>
        <v>Dave</v>
      </c>
      <c r="H141" s="27" t="str">
        <f>IF('Raw Data'!$L$2="","",'Raw Data'!$L$2)</f>
        <v>SqueakSqueakinSqueakSqueakity</v>
      </c>
      <c r="I141" s="23" t="str">
        <f t="shared" si="11"/>
        <v>L</v>
      </c>
      <c r="J141" s="23">
        <f t="shared" si="12"/>
        <v>5</v>
      </c>
      <c r="K141" s="23" t="str">
        <f t="shared" si="13"/>
        <v>W</v>
      </c>
      <c r="L141" s="25">
        <f t="shared" si="14"/>
        <v>-33.14</v>
      </c>
    </row>
    <row r="142" spans="1:12" x14ac:dyDescent="0.2">
      <c r="A142" s="23">
        <v>12</v>
      </c>
      <c r="B142" s="24" t="str">
        <f>IF('Raw Data'!$L$22="","",'Raw Data'!$L$22)</f>
        <v>Wrong Lever!</v>
      </c>
      <c r="C142" s="45" t="str">
        <f>IF(B142="","",_xlfn.XLOOKUP(B142,'Raw Data'!$P$3:$P$16,'Raw Data'!$Q$3:$Q$16,0,0,1))</f>
        <v>Tom</v>
      </c>
      <c r="D142" s="25">
        <f>IF('Raw Data'!$L$19="","",'Raw Data'!$L$19)</f>
        <v>108.73</v>
      </c>
      <c r="E142" s="18" t="s">
        <v>1</v>
      </c>
      <c r="F142" s="25">
        <f>IF('Raw Data'!$L$16="","",'Raw Data'!$L$16)</f>
        <v>122.31</v>
      </c>
      <c r="G142" s="45" t="str">
        <f>IF(H142="","",_xlfn.XLOOKUP(H142,'Raw Data'!$P$3:$P$16,'Raw Data'!$Q$3:$Q$16,0,0,1))</f>
        <v>Stefan</v>
      </c>
      <c r="H142" s="27" t="str">
        <f>IF('Raw Data'!$L$13="","",'Raw Data'!$L$13)</f>
        <v>Prince Abooboo</v>
      </c>
      <c r="I142" s="23" t="str">
        <f t="shared" si="11"/>
        <v>L</v>
      </c>
      <c r="J142" s="23">
        <f t="shared" si="12"/>
        <v>9</v>
      </c>
      <c r="K142" s="23" t="str">
        <f t="shared" si="13"/>
        <v>L</v>
      </c>
      <c r="L142" s="25">
        <f t="shared" si="14"/>
        <v>-13.579999999999998</v>
      </c>
    </row>
    <row r="143" spans="1:12" x14ac:dyDescent="0.2">
      <c r="A143" s="23">
        <v>12</v>
      </c>
      <c r="B143" s="24" t="str">
        <f>IF('Raw Data'!$L$33="","",'Raw Data'!$L$33)</f>
        <v>The Goob Troop</v>
      </c>
      <c r="C143" s="45" t="str">
        <f>IF(B143="","",_xlfn.XLOOKUP(B143,'Raw Data'!$P$3:$P$16,'Raw Data'!$Q$3:$Q$16,0,0,1))</f>
        <v>Justin</v>
      </c>
      <c r="D143" s="25">
        <f>IF('Raw Data'!$L$30="","",'Raw Data'!$L$30)</f>
        <v>121.84</v>
      </c>
      <c r="E143" s="18" t="s">
        <v>1</v>
      </c>
      <c r="F143" s="25">
        <f>IF('Raw Data'!$L$27="","",'Raw Data'!$L$27)</f>
        <v>136.56</v>
      </c>
      <c r="G143" s="45" t="str">
        <f>IF(H143="","",_xlfn.XLOOKUP(H143,'Raw Data'!$P$3:$P$16,'Raw Data'!$Q$3:$Q$16,0,0,1))</f>
        <v>Beau</v>
      </c>
      <c r="H143" s="27" t="str">
        <f>IF('Raw Data'!$L$24="","",'Raw Data'!$L$24)</f>
        <v>Jafar</v>
      </c>
      <c r="I143" s="23" t="str">
        <f t="shared" si="11"/>
        <v>L</v>
      </c>
      <c r="J143" s="23">
        <f t="shared" si="12"/>
        <v>7</v>
      </c>
      <c r="K143" s="23" t="str">
        <f t="shared" si="13"/>
        <v>L</v>
      </c>
      <c r="L143" s="25">
        <f t="shared" si="14"/>
        <v>-14.719999999999999</v>
      </c>
    </row>
    <row r="144" spans="1:12" x14ac:dyDescent="0.2">
      <c r="A144" s="23">
        <v>12</v>
      </c>
      <c r="B144" s="24" t="str">
        <f>IF('Raw Data'!$L$44="","",'Raw Data'!$L$44)</f>
        <v>Tick Tock the Crocodile</v>
      </c>
      <c r="C144" s="45" t="str">
        <f>IF(B144="","",_xlfn.XLOOKUP(B144,'Raw Data'!$P$3:$P$16,'Raw Data'!$Q$3:$Q$16,0,0,1))</f>
        <v>Jared</v>
      </c>
      <c r="D144" s="25">
        <f>IF('Raw Data'!$L$41="","",'Raw Data'!$L$41)</f>
        <v>100.49</v>
      </c>
      <c r="E144" s="18" t="s">
        <v>1</v>
      </c>
      <c r="F144" s="25">
        <f>IF('Raw Data'!$L$38="","",'Raw Data'!$L$38)</f>
        <v>103.93</v>
      </c>
      <c r="G144" s="45" t="str">
        <f>IF(H144="","",_xlfn.XLOOKUP(H144,'Raw Data'!$P$3:$P$16,'Raw Data'!$Q$3:$Q$16,0,0,1))</f>
        <v>Rico</v>
      </c>
      <c r="H144" s="27" t="str">
        <f>IF('Raw Data'!$L$35="","",'Raw Data'!$L$35)</f>
        <v>We're all mad here</v>
      </c>
      <c r="I144" s="23" t="str">
        <f t="shared" si="11"/>
        <v>L</v>
      </c>
      <c r="J144" s="23">
        <f t="shared" si="12"/>
        <v>12</v>
      </c>
      <c r="K144" s="23" t="str">
        <f t="shared" si="13"/>
        <v>L</v>
      </c>
      <c r="L144" s="25">
        <f t="shared" si="14"/>
        <v>-3.4400000000000119</v>
      </c>
    </row>
    <row r="145" spans="1:12" x14ac:dyDescent="0.2">
      <c r="A145" s="23">
        <v>12</v>
      </c>
      <c r="B145" s="24" t="str">
        <f>IF('Raw Data'!$L$55="","",'Raw Data'!$L$55)</f>
        <v>The Rescuers vs Medusa</v>
      </c>
      <c r="C145" s="45" t="str">
        <f>IF(B145="","",_xlfn.XLOOKUP(B145,'Raw Data'!$P$3:$P$16,'Raw Data'!$Q$3:$Q$16,0,0,1))</f>
        <v>Eddie</v>
      </c>
      <c r="D145" s="25">
        <f>IF('Raw Data'!$L$52="","",'Raw Data'!$L$52)</f>
        <v>138.38999999999999</v>
      </c>
      <c r="E145" s="18" t="s">
        <v>1</v>
      </c>
      <c r="F145" s="25">
        <f>IF('Raw Data'!$L$49="","",'Raw Data'!$L$49)</f>
        <v>142.72999999999999</v>
      </c>
      <c r="G145" s="45" t="str">
        <f>IF(H145="","",_xlfn.XLOOKUP(H145,'Raw Data'!$P$3:$P$16,'Raw Data'!$Q$3:$Q$16,0,0,1))</f>
        <v>Steve</v>
      </c>
      <c r="H145" s="27" t="str">
        <f>IF('Raw Data'!$L$46="","",'Raw Data'!$L$46)</f>
        <v>5 Dozen Eggs by Gaston</v>
      </c>
      <c r="I145" s="23" t="str">
        <f t="shared" si="11"/>
        <v>L</v>
      </c>
      <c r="J145" s="23">
        <f t="shared" si="12"/>
        <v>3</v>
      </c>
      <c r="K145" s="23" t="str">
        <f t="shared" si="13"/>
        <v>W</v>
      </c>
      <c r="L145" s="25">
        <f t="shared" si="14"/>
        <v>-4.3400000000000034</v>
      </c>
    </row>
    <row r="146" spans="1:12" x14ac:dyDescent="0.2">
      <c r="A146" s="23">
        <v>12</v>
      </c>
      <c r="B146" s="24" t="str">
        <f>IF('Raw Data'!$L$66="","",'Raw Data'!$L$66)</f>
        <v>Stupid Smartass Psycho</v>
      </c>
      <c r="C146" s="45" t="str">
        <f>IF(B146="","",_xlfn.XLOOKUP(B146,'Raw Data'!$P$3:$P$16,'Raw Data'!$Q$3:$Q$16,0,0,1))</f>
        <v>Nate</v>
      </c>
      <c r="D146" s="25">
        <f>IF('Raw Data'!$L$63="","",'Raw Data'!$L$63)</f>
        <v>107.76</v>
      </c>
      <c r="E146" s="18" t="s">
        <v>1</v>
      </c>
      <c r="F146" s="25">
        <f>IF('Raw Data'!$L$60="","",'Raw Data'!$L$60)</f>
        <v>121.05</v>
      </c>
      <c r="G146" s="45" t="str">
        <f>IF(H146="","",_xlfn.XLOOKUP(H146,'Raw Data'!$P$3:$P$16,'Raw Data'!$Q$3:$Q$16,0,0,1))</f>
        <v>Dylan</v>
      </c>
      <c r="H146" s="27" t="str">
        <f>IF('Raw Data'!$L$57="","",'Raw Data'!$L$57)</f>
        <v>Herbie's Honkers</v>
      </c>
      <c r="I146" s="23" t="str">
        <f t="shared" si="11"/>
        <v>L</v>
      </c>
      <c r="J146" s="23">
        <f t="shared" si="12"/>
        <v>10</v>
      </c>
      <c r="K146" s="23" t="str">
        <f t="shared" si="13"/>
        <v>L</v>
      </c>
      <c r="L146" s="25">
        <f t="shared" si="14"/>
        <v>-13.289999999999992</v>
      </c>
    </row>
    <row r="147" spans="1:12" x14ac:dyDescent="0.2">
      <c r="A147" s="23">
        <v>13</v>
      </c>
      <c r="B147" s="24" t="str">
        <f>IF('Raw Data'!$M$2="","",'Raw Data'!$M$2)</f>
        <v>SqueakSqueakinSqueakSqueakity</v>
      </c>
      <c r="C147" s="45" t="str">
        <f>IF(B147="","",_xlfn.XLOOKUP(B147,'Raw Data'!$P$3:$P$16,'Raw Data'!$Q$3:$Q$16,0,0,1))</f>
        <v>Dave</v>
      </c>
      <c r="D147" s="25">
        <f>IF('Raw Data'!$M$5="","",'Raw Data'!$M$5)</f>
        <v>100.22</v>
      </c>
      <c r="E147" s="18" t="s">
        <v>1</v>
      </c>
      <c r="F147" s="25">
        <f>IF('Raw Data'!$M$8="","",'Raw Data'!$M$8)</f>
        <v>118.9</v>
      </c>
      <c r="G147" s="45" t="str">
        <f>IF(H147="","",_xlfn.XLOOKUP(H147,'Raw Data'!$P$3:$P$16,'Raw Data'!$Q$3:$Q$16,0,0,1))</f>
        <v>Rico</v>
      </c>
      <c r="H147" s="26" t="str">
        <f>IF('Raw Data'!$M$11="","",'Raw Data'!$M$11)</f>
        <v>We're all mad here</v>
      </c>
      <c r="I147" s="23" t="str">
        <f t="shared" si="11"/>
        <v>L</v>
      </c>
      <c r="J147" s="23">
        <f t="shared" si="12"/>
        <v>11</v>
      </c>
      <c r="K147" s="23" t="str">
        <f t="shared" si="13"/>
        <v>L</v>
      </c>
      <c r="L147" s="25">
        <f t="shared" si="14"/>
        <v>-18.680000000000007</v>
      </c>
    </row>
    <row r="148" spans="1:12" x14ac:dyDescent="0.2">
      <c r="A148" s="23">
        <v>13</v>
      </c>
      <c r="B148" s="24" t="str">
        <f>IF('Raw Data'!$M$13="","",'Raw Data'!$M$13)</f>
        <v>Prince Abooboo</v>
      </c>
      <c r="C148" s="45" t="str">
        <f>IF(B148="","",_xlfn.XLOOKUP(B148,'Raw Data'!$P$3:$P$16,'Raw Data'!$Q$3:$Q$16,0,0,1))</f>
        <v>Stefan</v>
      </c>
      <c r="D148" s="25">
        <f>IF('Raw Data'!$M$16="","",'Raw Data'!$M$16)</f>
        <v>113.97</v>
      </c>
      <c r="E148" s="18" t="s">
        <v>1</v>
      </c>
      <c r="F148" s="25">
        <f>IF('Raw Data'!$M$19="","",'Raw Data'!$M$19)</f>
        <v>134.13999999999999</v>
      </c>
      <c r="G148" s="45" t="str">
        <f>IF(H148="","",_xlfn.XLOOKUP(H148,'Raw Data'!$P$3:$P$16,'Raw Data'!$Q$3:$Q$16,0,0,1))</f>
        <v>Eddie</v>
      </c>
      <c r="H148" s="26" t="str">
        <f>IF('Raw Data'!$M$22="","",'Raw Data'!$M$22)</f>
        <v>The Rescuers vs Medusa</v>
      </c>
      <c r="I148" s="23" t="str">
        <f t="shared" si="11"/>
        <v>L</v>
      </c>
      <c r="J148" s="23">
        <f t="shared" si="12"/>
        <v>8</v>
      </c>
      <c r="K148" s="23" t="str">
        <f t="shared" si="13"/>
        <v>L</v>
      </c>
      <c r="L148" s="25">
        <f t="shared" si="14"/>
        <v>-20.169999999999987</v>
      </c>
    </row>
    <row r="149" spans="1:12" x14ac:dyDescent="0.2">
      <c r="A149" s="23">
        <v>13</v>
      </c>
      <c r="B149" s="24" t="str">
        <f>IF('Raw Data'!$M$24="","",'Raw Data'!$M$24)</f>
        <v>Jafar</v>
      </c>
      <c r="C149" s="45" t="str">
        <f>IF(B149="","",_xlfn.XLOOKUP(B149,'Raw Data'!$P$3:$P$16,'Raw Data'!$Q$3:$Q$16,0,0,1))</f>
        <v>Beau</v>
      </c>
      <c r="D149" s="25">
        <f>IF('Raw Data'!$M$27="","",'Raw Data'!$M$27)</f>
        <v>116.24</v>
      </c>
      <c r="E149" s="18" t="s">
        <v>1</v>
      </c>
      <c r="F149" s="25">
        <f>IF('Raw Data'!$M$30="","",'Raw Data'!$M$30)</f>
        <v>108.56</v>
      </c>
      <c r="G149" s="45" t="str">
        <f>IF(H149="","",_xlfn.XLOOKUP(H149,'Raw Data'!$P$3:$P$16,'Raw Data'!$Q$3:$Q$16,0,0,1))</f>
        <v>Nate</v>
      </c>
      <c r="H149" s="26" t="str">
        <f>IF('Raw Data'!$M$33="","",'Raw Data'!$M$33)</f>
        <v>Stupid Smartass Psycho</v>
      </c>
      <c r="I149" s="23" t="str">
        <f t="shared" si="11"/>
        <v>W</v>
      </c>
      <c r="J149" s="23">
        <f t="shared" si="12"/>
        <v>7</v>
      </c>
      <c r="K149" s="23" t="str">
        <f t="shared" si="13"/>
        <v>L</v>
      </c>
      <c r="L149" s="25">
        <f t="shared" si="14"/>
        <v>7.6799999999999926</v>
      </c>
    </row>
    <row r="150" spans="1:12" x14ac:dyDescent="0.2">
      <c r="A150" s="23">
        <v>13</v>
      </c>
      <c r="B150" s="24" t="str">
        <f>IF('Raw Data'!$M$35="","",'Raw Data'!$M$35)</f>
        <v>The Goob Troop</v>
      </c>
      <c r="C150" s="45" t="str">
        <f>IF(B150="","",_xlfn.XLOOKUP(B150,'Raw Data'!$P$3:$P$16,'Raw Data'!$Q$3:$Q$16,0,0,1))</f>
        <v>Justin</v>
      </c>
      <c r="D150" s="25">
        <f>IF('Raw Data'!$M$38="","",'Raw Data'!$M$38)</f>
        <v>137.91</v>
      </c>
      <c r="E150" s="18" t="s">
        <v>1</v>
      </c>
      <c r="F150" s="25">
        <f>IF('Raw Data'!$M$41="","",'Raw Data'!$M$41)</f>
        <v>145.93</v>
      </c>
      <c r="G150" s="45" t="str">
        <f>IF(H150="","",_xlfn.XLOOKUP(H150,'Raw Data'!$P$3:$P$16,'Raw Data'!$Q$3:$Q$16,0,0,1))</f>
        <v>Dylan</v>
      </c>
      <c r="H150" s="26" t="str">
        <f>IF('Raw Data'!$M$44="","",'Raw Data'!$M$44)</f>
        <v>Herbie's Honkers</v>
      </c>
      <c r="I150" s="23" t="str">
        <f t="shared" si="11"/>
        <v>L</v>
      </c>
      <c r="J150" s="23">
        <f t="shared" si="12"/>
        <v>2</v>
      </c>
      <c r="K150" s="23" t="str">
        <f t="shared" si="13"/>
        <v>W</v>
      </c>
      <c r="L150" s="25">
        <f t="shared" si="14"/>
        <v>-8.0200000000000102</v>
      </c>
    </row>
    <row r="151" spans="1:12" x14ac:dyDescent="0.2">
      <c r="A151" s="23">
        <v>13</v>
      </c>
      <c r="B151" s="24" t="str">
        <f>IF('Raw Data'!$M$46="","",'Raw Data'!$M$46)</f>
        <v>Wrong Lever!</v>
      </c>
      <c r="C151" s="45" t="str">
        <f>IF(B151="","",_xlfn.XLOOKUP(B151,'Raw Data'!$P$3:$P$16,'Raw Data'!$Q$3:$Q$16,0,0,1))</f>
        <v>Tom</v>
      </c>
      <c r="D151" s="25">
        <f>IF('Raw Data'!$M$49="","",'Raw Data'!$M$49)</f>
        <v>123.1</v>
      </c>
      <c r="E151" s="18" t="s">
        <v>1</v>
      </c>
      <c r="F151" s="25">
        <f>IF('Raw Data'!$M$52="","",'Raw Data'!$M$52)</f>
        <v>98.45</v>
      </c>
      <c r="G151" s="45" t="str">
        <f>IF(H151="","",_xlfn.XLOOKUP(H151,'Raw Data'!$P$3:$P$16,'Raw Data'!$Q$3:$Q$16,0,0,1))</f>
        <v>Steve</v>
      </c>
      <c r="H151" s="26" t="str">
        <f>IF('Raw Data'!$M$55="","",'Raw Data'!$M$55)</f>
        <v>5 Dozen Eggs by Gaston</v>
      </c>
      <c r="I151" s="23" t="str">
        <f t="shared" si="11"/>
        <v>W</v>
      </c>
      <c r="J151" s="23">
        <f t="shared" si="12"/>
        <v>5</v>
      </c>
      <c r="K151" s="95" t="s">
        <v>21</v>
      </c>
      <c r="L151" s="25">
        <f t="shared" si="14"/>
        <v>24.649999999999991</v>
      </c>
    </row>
    <row r="152" spans="1:12" x14ac:dyDescent="0.2">
      <c r="A152" s="23">
        <v>13</v>
      </c>
      <c r="B152" s="24" t="str">
        <f>IF('Raw Data'!$M$57="","",'Raw Data'!$M$57)</f>
        <v>Tick Tock the Crocodile</v>
      </c>
      <c r="C152" s="45" t="str">
        <f>IF(B152="","",_xlfn.XLOOKUP(B152,'Raw Data'!$P$3:$P$16,'Raw Data'!$Q$3:$Q$16,0,0,1))</f>
        <v>Jared</v>
      </c>
      <c r="D152" s="25">
        <f>IF('Raw Data'!$M$60="","",'Raw Data'!$M$60)</f>
        <v>126.66</v>
      </c>
      <c r="E152" s="18" t="s">
        <v>1</v>
      </c>
      <c r="F152" s="25">
        <f>IF('Raw Data'!$M$63="","",'Raw Data'!$M$63)</f>
        <v>104.92</v>
      </c>
      <c r="G152" s="45" t="str">
        <f>IF(H152="","",_xlfn.XLOOKUP(H152,'Raw Data'!$P$3:$P$16,'Raw Data'!$Q$3:$Q$16,0,0,1))</f>
        <v>Ian</v>
      </c>
      <c r="H152" s="26" t="str">
        <f>IF('Raw Data'!$M$66="","",'Raw Data'!$M$66)</f>
        <v>Aladdin Jazerra</v>
      </c>
      <c r="I152" s="23" t="str">
        <f t="shared" si="11"/>
        <v>W</v>
      </c>
      <c r="J152" s="23">
        <f t="shared" si="12"/>
        <v>4</v>
      </c>
      <c r="K152" s="23" t="str">
        <f t="shared" si="13"/>
        <v>W</v>
      </c>
      <c r="L152" s="25">
        <f t="shared" si="14"/>
        <v>21.739999999999995</v>
      </c>
    </row>
    <row r="153" spans="1:12" x14ac:dyDescent="0.2">
      <c r="A153" s="23">
        <v>13</v>
      </c>
      <c r="B153" s="24" t="str">
        <f>IF('Raw Data'!$M$11="","",'Raw Data'!$M$11)</f>
        <v>We're all mad here</v>
      </c>
      <c r="C153" s="45" t="str">
        <f>IF(B153="","",_xlfn.XLOOKUP(B153,'Raw Data'!$P$3:$P$16,'Raw Data'!$Q$3:$Q$16,0,0,1))</f>
        <v>Rico</v>
      </c>
      <c r="D153" s="25">
        <f>IF('Raw Data'!$M$8="","",'Raw Data'!$M$8)</f>
        <v>118.9</v>
      </c>
      <c r="E153" s="18" t="s">
        <v>1</v>
      </c>
      <c r="F153" s="25">
        <f>IF('Raw Data'!$M$5="","",'Raw Data'!$M$5)</f>
        <v>100.22</v>
      </c>
      <c r="G153" s="45" t="str">
        <f>IF(H153="","",_xlfn.XLOOKUP(H153,'Raw Data'!$P$3:$P$16,'Raw Data'!$Q$3:$Q$16,0,0,1))</f>
        <v>Dave</v>
      </c>
      <c r="H153" s="27" t="str">
        <f>IF('Raw Data'!$M$2="","",'Raw Data'!$M$2)</f>
        <v>SqueakSqueakinSqueakSqueakity</v>
      </c>
      <c r="I153" s="23" t="str">
        <f t="shared" si="11"/>
        <v>W</v>
      </c>
      <c r="J153" s="23">
        <f t="shared" si="12"/>
        <v>6</v>
      </c>
      <c r="K153" s="23" t="str">
        <f t="shared" si="13"/>
        <v>W</v>
      </c>
      <c r="L153" s="25">
        <f t="shared" si="14"/>
        <v>18.680000000000007</v>
      </c>
    </row>
    <row r="154" spans="1:12" x14ac:dyDescent="0.2">
      <c r="A154" s="23">
        <v>13</v>
      </c>
      <c r="B154" s="24" t="str">
        <f>IF('Raw Data'!$M$22="","",'Raw Data'!$M$22)</f>
        <v>The Rescuers vs Medusa</v>
      </c>
      <c r="C154" s="45" t="str">
        <f>IF(B154="","",_xlfn.XLOOKUP(B154,'Raw Data'!$P$3:$P$16,'Raw Data'!$Q$3:$Q$16,0,0,1))</f>
        <v>Eddie</v>
      </c>
      <c r="D154" s="25">
        <f>IF('Raw Data'!$M$19="","",'Raw Data'!$M$19)</f>
        <v>134.13999999999999</v>
      </c>
      <c r="E154" s="18" t="s">
        <v>1</v>
      </c>
      <c r="F154" s="25">
        <f>IF('Raw Data'!$M$16="","",'Raw Data'!$M$16)</f>
        <v>113.97</v>
      </c>
      <c r="G154" s="45" t="str">
        <f>IF(H154="","",_xlfn.XLOOKUP(H154,'Raw Data'!$P$3:$P$16,'Raw Data'!$Q$3:$Q$16,0,0,1))</f>
        <v>Stefan</v>
      </c>
      <c r="H154" s="27" t="str">
        <f>IF('Raw Data'!$M$13="","",'Raw Data'!$M$13)</f>
        <v>Prince Abooboo</v>
      </c>
      <c r="I154" s="23" t="str">
        <f t="shared" si="11"/>
        <v>W</v>
      </c>
      <c r="J154" s="23">
        <f t="shared" si="12"/>
        <v>3</v>
      </c>
      <c r="K154" s="23" t="str">
        <f t="shared" si="13"/>
        <v>W</v>
      </c>
      <c r="L154" s="25">
        <f t="shared" si="14"/>
        <v>20.169999999999987</v>
      </c>
    </row>
    <row r="155" spans="1:12" x14ac:dyDescent="0.2">
      <c r="A155" s="23">
        <v>13</v>
      </c>
      <c r="B155" s="24" t="str">
        <f>IF('Raw Data'!$M$33="","",'Raw Data'!$M$33)</f>
        <v>Stupid Smartass Psycho</v>
      </c>
      <c r="C155" s="45" t="str">
        <f>IF(B155="","",_xlfn.XLOOKUP(B155,'Raw Data'!$P$3:$P$16,'Raw Data'!$Q$3:$Q$16,0,0,1))</f>
        <v>Nate</v>
      </c>
      <c r="D155" s="25">
        <f>IF('Raw Data'!$M$30="","",'Raw Data'!$M$30)</f>
        <v>108.56</v>
      </c>
      <c r="E155" s="18" t="s">
        <v>1</v>
      </c>
      <c r="F155" s="25">
        <f>IF('Raw Data'!$M$27="","",'Raw Data'!$M$27)</f>
        <v>116.24</v>
      </c>
      <c r="G155" s="45" t="str">
        <f>IF(H155="","",_xlfn.XLOOKUP(H155,'Raw Data'!$P$3:$P$16,'Raw Data'!$Q$3:$Q$16,0,0,1))</f>
        <v>Beau</v>
      </c>
      <c r="H155" s="27" t="str">
        <f>IF('Raw Data'!$M$24="","",'Raw Data'!$M$24)</f>
        <v>Jafar</v>
      </c>
      <c r="I155" s="23" t="str">
        <f t="shared" si="11"/>
        <v>L</v>
      </c>
      <c r="J155" s="23">
        <f t="shared" si="12"/>
        <v>9</v>
      </c>
      <c r="K155" s="23" t="str">
        <f t="shared" si="13"/>
        <v>L</v>
      </c>
      <c r="L155" s="25">
        <f t="shared" si="14"/>
        <v>-7.6799999999999926</v>
      </c>
    </row>
    <row r="156" spans="1:12" x14ac:dyDescent="0.2">
      <c r="A156" s="23">
        <v>13</v>
      </c>
      <c r="B156" s="24" t="str">
        <f>IF('Raw Data'!$M$44="","",'Raw Data'!$M$44)</f>
        <v>Herbie's Honkers</v>
      </c>
      <c r="C156" s="45" t="str">
        <f>IF(B156="","",_xlfn.XLOOKUP(B156,'Raw Data'!$P$3:$P$16,'Raw Data'!$Q$3:$Q$16,0,0,1))</f>
        <v>Dylan</v>
      </c>
      <c r="D156" s="25">
        <f>IF('Raw Data'!$M$41="","",'Raw Data'!$M$41)</f>
        <v>145.93</v>
      </c>
      <c r="E156" s="18" t="s">
        <v>1</v>
      </c>
      <c r="F156" s="25">
        <f>IF('Raw Data'!$M$38="","",'Raw Data'!$M$38)</f>
        <v>137.91</v>
      </c>
      <c r="G156" s="45" t="str">
        <f>IF(H156="","",_xlfn.XLOOKUP(H156,'Raw Data'!$P$3:$P$16,'Raw Data'!$Q$3:$Q$16,0,0,1))</f>
        <v>Justin</v>
      </c>
      <c r="H156" s="27" t="str">
        <f>IF('Raw Data'!$M$35="","",'Raw Data'!$M$35)</f>
        <v>The Goob Troop</v>
      </c>
      <c r="I156" s="23" t="str">
        <f t="shared" si="11"/>
        <v>W</v>
      </c>
      <c r="J156" s="23">
        <f t="shared" si="12"/>
        <v>1</v>
      </c>
      <c r="K156" s="23" t="str">
        <f t="shared" si="13"/>
        <v>W</v>
      </c>
      <c r="L156" s="25">
        <f t="shared" si="14"/>
        <v>8.0200000000000102</v>
      </c>
    </row>
    <row r="157" spans="1:12" x14ac:dyDescent="0.2">
      <c r="A157" s="23">
        <v>13</v>
      </c>
      <c r="B157" s="24" t="str">
        <f>IF('Raw Data'!$M$55="","",'Raw Data'!$M$55)</f>
        <v>5 Dozen Eggs by Gaston</v>
      </c>
      <c r="C157" s="45" t="str">
        <f>IF(B157="","",_xlfn.XLOOKUP(B157,'Raw Data'!$P$3:$P$16,'Raw Data'!$Q$3:$Q$16,0,0,1))</f>
        <v>Steve</v>
      </c>
      <c r="D157" s="25">
        <f>IF('Raw Data'!$M$52="","",'Raw Data'!$M$52)</f>
        <v>98.45</v>
      </c>
      <c r="E157" s="18" t="s">
        <v>1</v>
      </c>
      <c r="F157" s="25">
        <f>IF('Raw Data'!$M$49="","",'Raw Data'!$M$49)</f>
        <v>123.1</v>
      </c>
      <c r="G157" s="45" t="str">
        <f>IF(H157="","",_xlfn.XLOOKUP(H157,'Raw Data'!$P$3:$P$16,'Raw Data'!$Q$3:$Q$16,0,0,1))</f>
        <v>Tom</v>
      </c>
      <c r="H157" s="27" t="str">
        <f>IF('Raw Data'!$M$46="","",'Raw Data'!$M$46)</f>
        <v>Wrong Lever!</v>
      </c>
      <c r="I157" s="23" t="str">
        <f t="shared" si="11"/>
        <v>L</v>
      </c>
      <c r="J157" s="23">
        <f t="shared" si="12"/>
        <v>12</v>
      </c>
      <c r="K157" s="23" t="str">
        <f t="shared" si="13"/>
        <v>L</v>
      </c>
      <c r="L157" s="25">
        <f t="shared" si="14"/>
        <v>-24.649999999999991</v>
      </c>
    </row>
    <row r="158" spans="1:12" x14ac:dyDescent="0.2">
      <c r="A158" s="23">
        <v>13</v>
      </c>
      <c r="B158" s="24" t="str">
        <f>IF('Raw Data'!$M$66="","",'Raw Data'!$M$66)</f>
        <v>Aladdin Jazerra</v>
      </c>
      <c r="C158" s="45" t="str">
        <f>IF(B158="","",_xlfn.XLOOKUP(B158,'Raw Data'!$P$3:$P$16,'Raw Data'!$Q$3:$Q$16,0,0,1))</f>
        <v>Ian</v>
      </c>
      <c r="D158" s="25">
        <f>IF('Raw Data'!$M$63="","",'Raw Data'!$M$63)</f>
        <v>104.92</v>
      </c>
      <c r="E158" s="18" t="s">
        <v>1</v>
      </c>
      <c r="F158" s="25">
        <f>IF('Raw Data'!$M$60="","",'Raw Data'!$M$60)</f>
        <v>126.66</v>
      </c>
      <c r="G158" s="45" t="str">
        <f>IF(H158="","",_xlfn.XLOOKUP(H158,'Raw Data'!$P$3:$P$16,'Raw Data'!$Q$3:$Q$16,0,0,1))</f>
        <v>Jared</v>
      </c>
      <c r="H158" s="27" t="str">
        <f>IF('Raw Data'!$M$57="","",'Raw Data'!$M$57)</f>
        <v>Tick Tock the Crocodile</v>
      </c>
      <c r="I158" s="23" t="str">
        <f t="shared" si="11"/>
        <v>L</v>
      </c>
      <c r="J158" s="23">
        <f t="shared" si="12"/>
        <v>10</v>
      </c>
      <c r="K158" s="23" t="str">
        <f t="shared" si="13"/>
        <v>L</v>
      </c>
      <c r="L158" s="25">
        <f t="shared" si="14"/>
        <v>-21.739999999999995</v>
      </c>
    </row>
    <row r="159" spans="1:12" x14ac:dyDescent="0.2">
      <c r="A159" s="23">
        <v>14</v>
      </c>
      <c r="B159" s="24" t="str">
        <f>IF('Raw Data'!$N$2="","",'Raw Data'!$N$2)</f>
        <v>SqueakSqueakinSqueakSqueakity</v>
      </c>
      <c r="C159" s="45" t="str">
        <f>IF(B159="","",_xlfn.XLOOKUP(B159,'Raw Data'!$P$3:$P$16,'Raw Data'!$Q$3:$Q$16,0,0,1))</f>
        <v>Dave</v>
      </c>
      <c r="D159" s="25">
        <f>IF('Raw Data'!$N$5="","",'Raw Data'!$N$5)</f>
        <v>161.16999999999999</v>
      </c>
      <c r="E159" s="18" t="s">
        <v>1</v>
      </c>
      <c r="F159" s="25">
        <f>IF('Raw Data'!$N$8="","",'Raw Data'!$N$8)</f>
        <v>117.93</v>
      </c>
      <c r="G159" s="45" t="str">
        <f>IF(H159="","",_xlfn.XLOOKUP(H159,'Raw Data'!$P$3:$P$16,'Raw Data'!$Q$3:$Q$16,0,0,1))</f>
        <v>Jared</v>
      </c>
      <c r="H159" s="26" t="str">
        <f>IF('Raw Data'!$N$11="","",'Raw Data'!$N$11)</f>
        <v>Tick Tock the Crocodile</v>
      </c>
      <c r="I159" s="23" t="str">
        <f t="shared" si="11"/>
        <v>W</v>
      </c>
      <c r="J159" s="23">
        <f t="shared" si="12"/>
        <v>1</v>
      </c>
      <c r="K159" s="23" t="str">
        <f t="shared" si="13"/>
        <v>W</v>
      </c>
      <c r="L159" s="25">
        <f t="shared" si="14"/>
        <v>43.239999999999981</v>
      </c>
    </row>
    <row r="160" spans="1:12" x14ac:dyDescent="0.2">
      <c r="A160" s="23">
        <v>14</v>
      </c>
      <c r="B160" s="24" t="str">
        <f>IF('Raw Data'!$N$13="","",'Raw Data'!$N$13)</f>
        <v>Prince Abooboo</v>
      </c>
      <c r="C160" s="45" t="str">
        <f>IF(B160="","",_xlfn.XLOOKUP(B160,'Raw Data'!$P$3:$P$16,'Raw Data'!$Q$3:$Q$16,0,0,1))</f>
        <v>Stefan</v>
      </c>
      <c r="D160" s="25">
        <f>IF('Raw Data'!$N$16="","",'Raw Data'!$N$16)</f>
        <v>89.05</v>
      </c>
      <c r="E160" s="18" t="s">
        <v>1</v>
      </c>
      <c r="F160" s="25">
        <f>IF('Raw Data'!$N$19="","",'Raw Data'!$N$19)</f>
        <v>127.76</v>
      </c>
      <c r="G160" s="45" t="str">
        <f>IF(H160="","",_xlfn.XLOOKUP(H160,'Raw Data'!$P$3:$P$16,'Raw Data'!$Q$3:$Q$16,0,0,1))</f>
        <v>Steve</v>
      </c>
      <c r="H160" s="26" t="str">
        <f>IF('Raw Data'!$N$22="","",'Raw Data'!$N$22)</f>
        <v>5 Dozen Eggs by Gaston</v>
      </c>
      <c r="I160" s="23" t="str">
        <f t="shared" si="11"/>
        <v>L</v>
      </c>
      <c r="J160" s="23">
        <f t="shared" si="12"/>
        <v>11</v>
      </c>
      <c r="K160" s="23" t="str">
        <f t="shared" si="13"/>
        <v>L</v>
      </c>
      <c r="L160" s="25">
        <f t="shared" si="14"/>
        <v>-38.710000000000008</v>
      </c>
    </row>
    <row r="161" spans="1:12" x14ac:dyDescent="0.2">
      <c r="A161" s="23">
        <v>14</v>
      </c>
      <c r="B161" s="24" t="str">
        <f>IF('Raw Data'!$N$24="","",'Raw Data'!$N$24)</f>
        <v>Jafar</v>
      </c>
      <c r="C161" s="45" t="str">
        <f>IF(B161="","",_xlfn.XLOOKUP(B161,'Raw Data'!$P$3:$P$16,'Raw Data'!$Q$3:$Q$16,0,0,1))</f>
        <v>Beau</v>
      </c>
      <c r="D161" s="25">
        <f>IF('Raw Data'!$N$27="","",'Raw Data'!$N$27)</f>
        <v>123.09</v>
      </c>
      <c r="E161" s="18" t="s">
        <v>1</v>
      </c>
      <c r="F161" s="25">
        <f>IF('Raw Data'!$N$30="","",'Raw Data'!$N$30)</f>
        <v>134.46</v>
      </c>
      <c r="G161" s="45" t="str">
        <f>IF(H161="","",_xlfn.XLOOKUP(H161,'Raw Data'!$P$3:$P$16,'Raw Data'!$Q$3:$Q$16,0,0,1))</f>
        <v>Dylan</v>
      </c>
      <c r="H161" s="26" t="str">
        <f>IF('Raw Data'!$N$33="","",'Raw Data'!$N$33)</f>
        <v>Herbie's Honkers</v>
      </c>
      <c r="I161" s="23" t="str">
        <f t="shared" si="11"/>
        <v>L</v>
      </c>
      <c r="J161" s="23">
        <f t="shared" si="12"/>
        <v>5</v>
      </c>
      <c r="K161" s="23" t="str">
        <f t="shared" si="13"/>
        <v>W</v>
      </c>
      <c r="L161" s="25">
        <f t="shared" si="14"/>
        <v>-11.370000000000005</v>
      </c>
    </row>
    <row r="162" spans="1:12" x14ac:dyDescent="0.2">
      <c r="A162" s="23">
        <v>14</v>
      </c>
      <c r="B162" s="24" t="str">
        <f>IF('Raw Data'!$N$35="","",'Raw Data'!$N$35)</f>
        <v>We're all mad here</v>
      </c>
      <c r="C162" s="45" t="str">
        <f>IF(B162="","",_xlfn.XLOOKUP(B162,'Raw Data'!$P$3:$P$16,'Raw Data'!$Q$3:$Q$16,0,0,1))</f>
        <v>Rico</v>
      </c>
      <c r="D162" s="25">
        <f>IF('Raw Data'!$N$38="","",'Raw Data'!$N$38)</f>
        <v>94.51</v>
      </c>
      <c r="E162" s="18" t="s">
        <v>1</v>
      </c>
      <c r="F162" s="25">
        <f>IF('Raw Data'!$N$41="","",'Raw Data'!$N$41)</f>
        <v>110.54</v>
      </c>
      <c r="G162" s="45" t="str">
        <f>IF(H162="","",_xlfn.XLOOKUP(H162,'Raw Data'!$P$3:$P$16,'Raw Data'!$Q$3:$Q$16,0,0,1))</f>
        <v>Ian</v>
      </c>
      <c r="H162" s="26" t="str">
        <f>IF('Raw Data'!$N$44="","",'Raw Data'!$N$44)</f>
        <v>Aladdin Jazerra</v>
      </c>
      <c r="I162" s="23" t="str">
        <f t="shared" si="11"/>
        <v>L</v>
      </c>
      <c r="J162" s="23">
        <f t="shared" si="12"/>
        <v>9</v>
      </c>
      <c r="K162" s="23" t="str">
        <f t="shared" si="13"/>
        <v>L</v>
      </c>
      <c r="L162" s="25">
        <f t="shared" si="14"/>
        <v>-16.03</v>
      </c>
    </row>
    <row r="163" spans="1:12" x14ac:dyDescent="0.2">
      <c r="A163" s="23">
        <v>14</v>
      </c>
      <c r="B163" s="24" t="str">
        <f>IF('Raw Data'!$N$46="","",'Raw Data'!$N$46)</f>
        <v>The Goob Troop</v>
      </c>
      <c r="C163" s="45" t="str">
        <f>IF(B163="","",_xlfn.XLOOKUP(B163,'Raw Data'!$P$3:$P$16,'Raw Data'!$Q$3:$Q$16,0,0,1))</f>
        <v>Justin</v>
      </c>
      <c r="D163" s="25">
        <f>IF('Raw Data'!$N$49="","",'Raw Data'!$N$49)</f>
        <v>90.13</v>
      </c>
      <c r="E163" s="18" t="s">
        <v>1</v>
      </c>
      <c r="F163" s="25">
        <f>IF('Raw Data'!$N$52="","",'Raw Data'!$N$52)</f>
        <v>57.24</v>
      </c>
      <c r="G163" s="45" t="str">
        <f>IF(H163="","",_xlfn.XLOOKUP(H163,'Raw Data'!$P$3:$P$16,'Raw Data'!$Q$3:$Q$16,0,0,1))</f>
        <v>Nate</v>
      </c>
      <c r="H163" s="26" t="str">
        <f>IF('Raw Data'!$N$55="","",'Raw Data'!$N$55)</f>
        <v>Stupid Smartass Psycho</v>
      </c>
      <c r="I163" s="23" t="str">
        <f t="shared" si="11"/>
        <v>W</v>
      </c>
      <c r="J163" s="23">
        <f t="shared" si="12"/>
        <v>10</v>
      </c>
      <c r="K163" s="23" t="str">
        <f t="shared" si="13"/>
        <v>L</v>
      </c>
      <c r="L163" s="25">
        <f t="shared" si="14"/>
        <v>32.889999999999993</v>
      </c>
    </row>
    <row r="164" spans="1:12" x14ac:dyDescent="0.2">
      <c r="A164" s="23">
        <v>14</v>
      </c>
      <c r="B164" s="24" t="str">
        <f>IF('Raw Data'!$N$57="","",'Raw Data'!$N$57)</f>
        <v>Wrong Lever!</v>
      </c>
      <c r="C164" s="45" t="str">
        <f>IF(B164="","",_xlfn.XLOOKUP(B164,'Raw Data'!$P$3:$P$16,'Raw Data'!$Q$3:$Q$16,0,0,1))</f>
        <v>Tom</v>
      </c>
      <c r="D164" s="25">
        <f>IF('Raw Data'!$N$60="","",'Raw Data'!$N$60)</f>
        <v>100.66</v>
      </c>
      <c r="E164" s="18" t="s">
        <v>1</v>
      </c>
      <c r="F164" s="25">
        <f>IF('Raw Data'!$N$63="","",'Raw Data'!$N$63)</f>
        <v>160.19999999999999</v>
      </c>
      <c r="G164" s="45" t="str">
        <f>IF(H164="","",_xlfn.XLOOKUP(H164,'Raw Data'!$P$3:$P$16,'Raw Data'!$Q$3:$Q$16,0,0,1))</f>
        <v>Eddie</v>
      </c>
      <c r="H164" s="26" t="str">
        <f>IF('Raw Data'!$N$66="","",'Raw Data'!$N$66)</f>
        <v>The Rescuers vs Medusa</v>
      </c>
      <c r="I164" s="23" t="str">
        <f t="shared" si="11"/>
        <v>L</v>
      </c>
      <c r="J164" s="23">
        <f t="shared" si="12"/>
        <v>8</v>
      </c>
      <c r="K164" s="23" t="str">
        <f t="shared" si="13"/>
        <v>L</v>
      </c>
      <c r="L164" s="25">
        <f t="shared" si="14"/>
        <v>-59.539999999999992</v>
      </c>
    </row>
    <row r="165" spans="1:12" x14ac:dyDescent="0.2">
      <c r="A165" s="23">
        <v>14</v>
      </c>
      <c r="B165" s="24" t="str">
        <f>IF('Raw Data'!$N$11="","",'Raw Data'!$N$11)</f>
        <v>Tick Tock the Crocodile</v>
      </c>
      <c r="C165" s="45" t="str">
        <f>IF(B165="","",_xlfn.XLOOKUP(B165,'Raw Data'!$P$3:$P$16,'Raw Data'!$Q$3:$Q$16,0,0,1))</f>
        <v>Jared</v>
      </c>
      <c r="D165" s="25">
        <f>IF('Raw Data'!$N$8="","",'Raw Data'!$N$8)</f>
        <v>117.93</v>
      </c>
      <c r="E165" s="18" t="s">
        <v>1</v>
      </c>
      <c r="F165" s="25">
        <f>IF('Raw Data'!$N$5="","",'Raw Data'!$N$5)</f>
        <v>161.16999999999999</v>
      </c>
      <c r="G165" s="45" t="str">
        <f>IF(H165="","",_xlfn.XLOOKUP(H165,'Raw Data'!$P$3:$P$16,'Raw Data'!$Q$3:$Q$16,0,0,1))</f>
        <v>Dave</v>
      </c>
      <c r="H165" s="27" t="str">
        <f>IF('Raw Data'!$N$2="","",'Raw Data'!$N$2)</f>
        <v>SqueakSqueakinSqueakSqueakity</v>
      </c>
      <c r="I165" s="23" t="str">
        <f t="shared" si="11"/>
        <v>L</v>
      </c>
      <c r="J165" s="23">
        <f t="shared" si="12"/>
        <v>6</v>
      </c>
      <c r="K165" s="23" t="str">
        <f t="shared" si="13"/>
        <v>W</v>
      </c>
      <c r="L165" s="25">
        <f t="shared" si="14"/>
        <v>-43.239999999999981</v>
      </c>
    </row>
    <row r="166" spans="1:12" x14ac:dyDescent="0.2">
      <c r="A166" s="23">
        <v>14</v>
      </c>
      <c r="B166" s="24" t="str">
        <f>IF('Raw Data'!$N$22="","",'Raw Data'!$N$22)</f>
        <v>5 Dozen Eggs by Gaston</v>
      </c>
      <c r="C166" s="45" t="str">
        <f>IF(B166="","",_xlfn.XLOOKUP(B166,'Raw Data'!$P$3:$P$16,'Raw Data'!$Q$3:$Q$16,0,0,1))</f>
        <v>Steve</v>
      </c>
      <c r="D166" s="25">
        <f>IF('Raw Data'!$N$19="","",'Raw Data'!$N$19)</f>
        <v>127.76</v>
      </c>
      <c r="E166" s="18" t="s">
        <v>1</v>
      </c>
      <c r="F166" s="25">
        <f>IF('Raw Data'!$N$16="","",'Raw Data'!$N$16)</f>
        <v>89.05</v>
      </c>
      <c r="G166" s="45" t="str">
        <f>IF(H166="","",_xlfn.XLOOKUP(H166,'Raw Data'!$P$3:$P$16,'Raw Data'!$Q$3:$Q$16,0,0,1))</f>
        <v>Stefan</v>
      </c>
      <c r="H166" s="27" t="str">
        <f>IF('Raw Data'!$N$13="","",'Raw Data'!$N$13)</f>
        <v>Prince Abooboo</v>
      </c>
      <c r="I166" s="23" t="str">
        <f t="shared" si="11"/>
        <v>W</v>
      </c>
      <c r="J166" s="23">
        <f t="shared" si="12"/>
        <v>4</v>
      </c>
      <c r="K166" s="23" t="str">
        <f t="shared" si="13"/>
        <v>W</v>
      </c>
      <c r="L166" s="25">
        <f t="shared" si="14"/>
        <v>38.710000000000008</v>
      </c>
    </row>
    <row r="167" spans="1:12" x14ac:dyDescent="0.2">
      <c r="A167" s="23">
        <v>14</v>
      </c>
      <c r="B167" s="24" t="str">
        <f>IF('Raw Data'!$N$33="","",'Raw Data'!$N$33)</f>
        <v>Herbie's Honkers</v>
      </c>
      <c r="C167" s="45" t="str">
        <f>IF(B167="","",_xlfn.XLOOKUP(B167,'Raw Data'!$P$3:$P$16,'Raw Data'!$Q$3:$Q$16,0,0,1))</f>
        <v>Dylan</v>
      </c>
      <c r="D167" s="25">
        <f>IF('Raw Data'!$N$30="","",'Raw Data'!$N$30)</f>
        <v>134.46</v>
      </c>
      <c r="E167" s="18" t="s">
        <v>1</v>
      </c>
      <c r="F167" s="25">
        <f>IF('Raw Data'!$N$27="","",'Raw Data'!$N$27)</f>
        <v>123.09</v>
      </c>
      <c r="G167" s="45" t="str">
        <f>IF(H167="","",_xlfn.XLOOKUP(H167,'Raw Data'!$P$3:$P$16,'Raw Data'!$Q$3:$Q$16,0,0,1))</f>
        <v>Beau</v>
      </c>
      <c r="H167" s="27" t="str">
        <f>IF('Raw Data'!$N$24="","",'Raw Data'!$N$24)</f>
        <v>Jafar</v>
      </c>
      <c r="I167" s="23" t="str">
        <f t="shared" si="11"/>
        <v>W</v>
      </c>
      <c r="J167" s="23">
        <f t="shared" si="12"/>
        <v>3</v>
      </c>
      <c r="K167" s="23" t="str">
        <f t="shared" si="13"/>
        <v>W</v>
      </c>
      <c r="L167" s="25">
        <f t="shared" si="14"/>
        <v>11.370000000000005</v>
      </c>
    </row>
    <row r="168" spans="1:12" x14ac:dyDescent="0.2">
      <c r="A168" s="23">
        <v>14</v>
      </c>
      <c r="B168" s="24" t="str">
        <f>IF('Raw Data'!$N$44="","",'Raw Data'!$N$44)</f>
        <v>Aladdin Jazerra</v>
      </c>
      <c r="C168" s="45" t="str">
        <f>IF(B168="","",_xlfn.XLOOKUP(B168,'Raw Data'!$P$3:$P$16,'Raw Data'!$Q$3:$Q$16,0,0,1))</f>
        <v>Ian</v>
      </c>
      <c r="D168" s="25">
        <f>IF('Raw Data'!$N$41="","",'Raw Data'!$N$41)</f>
        <v>110.54</v>
      </c>
      <c r="E168" s="18" t="s">
        <v>1</v>
      </c>
      <c r="F168" s="25">
        <f>IF('Raw Data'!$N$38="","",'Raw Data'!$N$38)</f>
        <v>94.51</v>
      </c>
      <c r="G168" s="45" t="str">
        <f>IF(H168="","",_xlfn.XLOOKUP(H168,'Raw Data'!$P$3:$P$16,'Raw Data'!$Q$3:$Q$16,0,0,1))</f>
        <v>Rico</v>
      </c>
      <c r="H168" s="27" t="str">
        <f>IF('Raw Data'!$N$35="","",'Raw Data'!$N$35)</f>
        <v>We're all mad here</v>
      </c>
      <c r="I168" s="23" t="str">
        <f t="shared" si="11"/>
        <v>W</v>
      </c>
      <c r="J168" s="23">
        <f t="shared" si="12"/>
        <v>7</v>
      </c>
      <c r="K168" s="23" t="str">
        <f t="shared" si="13"/>
        <v>L</v>
      </c>
      <c r="L168" s="25">
        <f t="shared" si="14"/>
        <v>16.03</v>
      </c>
    </row>
    <row r="169" spans="1:12" x14ac:dyDescent="0.2">
      <c r="A169" s="23">
        <v>14</v>
      </c>
      <c r="B169" s="24" t="str">
        <f>IF('Raw Data'!$N$55="","",'Raw Data'!$N$55)</f>
        <v>Stupid Smartass Psycho</v>
      </c>
      <c r="C169" s="45" t="str">
        <f>IF(B169="","",_xlfn.XLOOKUP(B169,'Raw Data'!$P$3:$P$16,'Raw Data'!$Q$3:$Q$16,0,0,1))</f>
        <v>Nate</v>
      </c>
      <c r="D169" s="25">
        <f>IF('Raw Data'!$N$52="","",'Raw Data'!$N$52)</f>
        <v>57.24</v>
      </c>
      <c r="E169" s="18" t="s">
        <v>1</v>
      </c>
      <c r="F169" s="25">
        <f>IF('Raw Data'!$N$49="","",'Raw Data'!$N$49)</f>
        <v>90.13</v>
      </c>
      <c r="G169" s="45" t="str">
        <f>IF(H169="","",_xlfn.XLOOKUP(H169,'Raw Data'!$P$3:$P$16,'Raw Data'!$Q$3:$Q$16,0,0,1))</f>
        <v>Justin</v>
      </c>
      <c r="H169" s="27" t="str">
        <f>IF('Raw Data'!$N$46="","",'Raw Data'!$N$46)</f>
        <v>The Goob Troop</v>
      </c>
      <c r="I169" s="23" t="str">
        <f t="shared" si="11"/>
        <v>L</v>
      </c>
      <c r="J169" s="23">
        <f t="shared" si="12"/>
        <v>12</v>
      </c>
      <c r="K169" s="23" t="str">
        <f t="shared" si="13"/>
        <v>L</v>
      </c>
      <c r="L169" s="25">
        <f t="shared" si="14"/>
        <v>-32.889999999999993</v>
      </c>
    </row>
    <row r="170" spans="1:12" x14ac:dyDescent="0.2">
      <c r="A170" s="30">
        <v>14</v>
      </c>
      <c r="B170" s="60" t="str">
        <f>IF('Raw Data'!$N$66="","",'Raw Data'!$N$66)</f>
        <v>The Rescuers vs Medusa</v>
      </c>
      <c r="C170" s="61" t="str">
        <f>IF(B170="","",_xlfn.XLOOKUP(B170,'Raw Data'!$P$3:$P$16,'Raw Data'!$Q$3:$Q$16,0,0,1))</f>
        <v>Eddie</v>
      </c>
      <c r="D170" s="32">
        <f>IF('Raw Data'!$N$63="","",'Raw Data'!$N$63)</f>
        <v>160.19999999999999</v>
      </c>
      <c r="E170" s="62" t="s">
        <v>1</v>
      </c>
      <c r="F170" s="32">
        <f>IF('Raw Data'!$N$60="","",'Raw Data'!$N$60)</f>
        <v>100.66</v>
      </c>
      <c r="G170" s="61" t="str">
        <f>IF(H170="","",_xlfn.XLOOKUP(H170,'Raw Data'!$P$3:$P$16,'Raw Data'!$Q$3:$Q$16,0,0,1))</f>
        <v>Tom</v>
      </c>
      <c r="H170" s="63" t="str">
        <f>IF('Raw Data'!$N$57="","",'Raw Data'!$N$57)</f>
        <v>Wrong Lever!</v>
      </c>
      <c r="I170" s="30" t="str">
        <f t="shared" si="11"/>
        <v>W</v>
      </c>
      <c r="J170" s="30">
        <f t="shared" si="12"/>
        <v>2</v>
      </c>
      <c r="K170" s="30" t="str">
        <f t="shared" si="13"/>
        <v>W</v>
      </c>
      <c r="L170" s="32">
        <f t="shared" si="14"/>
        <v>59.539999999999992</v>
      </c>
    </row>
    <row r="171" spans="1:12" x14ac:dyDescent="0.2">
      <c r="A171" s="20">
        <v>15</v>
      </c>
      <c r="B171" s="69" t="str">
        <f>IF('Raw Data'!$S$2="","",'Raw Data'!$S$2)</f>
        <v>SqueakSqueakinSqueakSqueakity</v>
      </c>
      <c r="C171" s="45" t="str">
        <f>IF(B171="","",_xlfn.XLOOKUP(B171,'Raw Data'!$P$3:$P$16,'Raw Data'!$Q$3:$Q$16,0,0,1))</f>
        <v>Dave</v>
      </c>
      <c r="D171" s="68">
        <f>IF('Raw Data'!$S$3="","",'Raw Data'!$S$3)</f>
        <v>143.75</v>
      </c>
      <c r="E171" s="18" t="s">
        <v>1</v>
      </c>
      <c r="F171" s="68">
        <f>IF('Raw Data'!$S$5="","",'Raw Data'!$S$5)</f>
        <v>136.84</v>
      </c>
      <c r="G171" s="45" t="str">
        <f>IF(H171="","",_xlfn.XLOOKUP(H171,'Raw Data'!$P$3:$P$16,'Raw Data'!$Q$3:$Q$16,0,0,1))</f>
        <v>Nate</v>
      </c>
      <c r="H171" s="19" t="str">
        <f>IF('Raw Data'!$S$2="","",'Raw Data'!$S$4)</f>
        <v>Stupid Smartass Psycho</v>
      </c>
      <c r="I171" s="23" t="str">
        <f>IF(D171="","",IF(D171&gt;F171,"W","L"))</f>
        <v>W</v>
      </c>
      <c r="J171" s="23" t="str">
        <f t="shared" si="12"/>
        <v>N/A</v>
      </c>
      <c r="K171" s="23" t="str">
        <f t="shared" si="13"/>
        <v>N/A</v>
      </c>
      <c r="L171" s="25">
        <f t="shared" si="14"/>
        <v>6.9099999999999966</v>
      </c>
    </row>
    <row r="172" spans="1:12" x14ac:dyDescent="0.2">
      <c r="A172" s="20">
        <v>15</v>
      </c>
      <c r="B172" s="69" t="str">
        <f>IF('Raw Data'!$S$2="","",'Raw Data'!$S$7)</f>
        <v>The Rescuers vs Medusa</v>
      </c>
      <c r="C172" s="45" t="str">
        <f>IF(B172="","",_xlfn.XLOOKUP(B172,'Raw Data'!$P$3:$P$16,'Raw Data'!$Q$3:$Q$16,0,0,1))</f>
        <v>Eddie</v>
      </c>
      <c r="D172" s="68">
        <f>IF('Raw Data'!$S$8="","",'Raw Data'!$S$8)</f>
        <v>130.77000000000001</v>
      </c>
      <c r="E172" s="18" t="s">
        <v>1</v>
      </c>
      <c r="F172" s="68">
        <f>IF('Raw Data'!$S$10="","",'Raw Data'!$S$10)</f>
        <v>166.14</v>
      </c>
      <c r="G172" s="45" t="str">
        <f>IF(H172="","",_xlfn.XLOOKUP(H172,'Raw Data'!$P$3:$P$16,'Raw Data'!$Q$3:$Q$16,0,0,1))</f>
        <v>Stefan</v>
      </c>
      <c r="H172" s="19" t="str">
        <f>IF('Raw Data'!$S$2="","",'Raw Data'!$S$9)</f>
        <v>Prince Abooboo</v>
      </c>
      <c r="I172" s="23" t="str">
        <f t="shared" ref="I172:I198" si="15">IF(D172="","",IF(D172&gt;F172,"W","L"))</f>
        <v>L</v>
      </c>
      <c r="J172" s="23" t="str">
        <f t="shared" si="12"/>
        <v>N/A</v>
      </c>
      <c r="K172" s="23" t="str">
        <f t="shared" si="13"/>
        <v>N/A</v>
      </c>
      <c r="L172" s="25">
        <f t="shared" si="14"/>
        <v>-35.369999999999976</v>
      </c>
    </row>
    <row r="173" spans="1:12" x14ac:dyDescent="0.2">
      <c r="A173" s="20">
        <v>15</v>
      </c>
      <c r="B173" s="69" t="str">
        <f>IF('Raw Data'!$S$2="","",'Raw Data'!$S$12)</f>
        <v>Aladdin Jazerra</v>
      </c>
      <c r="C173" s="45" t="str">
        <f>IF(B173="","",_xlfn.XLOOKUP(B173,'Raw Data'!$P$3:$P$16,'Raw Data'!$Q$3:$Q$16,0,0,1))</f>
        <v>Ian</v>
      </c>
      <c r="D173" s="68">
        <f>IF('Raw Data'!$S$13="","",'Raw Data'!$S$13)</f>
        <v>104.89</v>
      </c>
      <c r="E173" s="18" t="s">
        <v>1</v>
      </c>
      <c r="F173" s="68">
        <f>IF('Raw Data'!$S$15="","",'Raw Data'!$S$15)</f>
        <v>74.599999999999994</v>
      </c>
      <c r="G173" s="45" t="str">
        <f>IF(H173="","",_xlfn.XLOOKUP(H173,'Raw Data'!$P$3:$P$16,'Raw Data'!$Q$3:$Q$16,0,0,1))</f>
        <v>Steve</v>
      </c>
      <c r="H173" s="19" t="str">
        <f>IF('Raw Data'!$S$2="","",'Raw Data'!$S$14)</f>
        <v>5 Dozen Eggs by Gaston</v>
      </c>
      <c r="I173" s="23" t="str">
        <f t="shared" si="15"/>
        <v>W</v>
      </c>
      <c r="J173" s="23" t="str">
        <f t="shared" si="12"/>
        <v>N/A</v>
      </c>
      <c r="K173" s="23" t="str">
        <f t="shared" si="13"/>
        <v>N/A</v>
      </c>
      <c r="L173" s="25">
        <f t="shared" si="14"/>
        <v>30.290000000000006</v>
      </c>
    </row>
    <row r="174" spans="1:12" x14ac:dyDescent="0.2">
      <c r="A174" s="20">
        <v>15</v>
      </c>
      <c r="B174" s="69" t="str">
        <f>IF('Raw Data'!$S$2="","",'Raw Data'!$S$17)</f>
        <v>Tick Tock the Crocodile</v>
      </c>
      <c r="C174" s="45" t="str">
        <f>IF(B174="","",_xlfn.XLOOKUP(B174,'Raw Data'!$P$3:$P$16,'Raw Data'!$Q$3:$Q$16,0,0,1))</f>
        <v>Jared</v>
      </c>
      <c r="D174" s="68">
        <f>IF('Raw Data'!$S$18="","",'Raw Data'!$S$18)</f>
        <v>133.62</v>
      </c>
      <c r="E174" s="18" t="s">
        <v>1</v>
      </c>
      <c r="F174" s="68">
        <f>IF('Raw Data'!$S$20="","",'Raw Data'!$S$20)</f>
        <v>59.16</v>
      </c>
      <c r="G174" s="45" t="str">
        <f>IF(H174="","",_xlfn.XLOOKUP(H174,'Raw Data'!$P$3:$P$16,'Raw Data'!$Q$3:$Q$16,0,0,1))</f>
        <v>Rico</v>
      </c>
      <c r="H174" s="19" t="str">
        <f>IF('Raw Data'!$S$2="","",'Raw Data'!$S$19)</f>
        <v>We're all mad here</v>
      </c>
      <c r="I174" s="23" t="str">
        <f t="shared" si="15"/>
        <v>W</v>
      </c>
      <c r="J174" s="23" t="str">
        <f t="shared" si="12"/>
        <v>N/A</v>
      </c>
      <c r="K174" s="23" t="str">
        <f t="shared" si="13"/>
        <v>N/A</v>
      </c>
      <c r="L174" s="25">
        <f t="shared" si="14"/>
        <v>74.460000000000008</v>
      </c>
    </row>
    <row r="175" spans="1:12" x14ac:dyDescent="0.2">
      <c r="A175" s="20">
        <v>15</v>
      </c>
      <c r="B175" s="69" t="str">
        <f>IF('Raw Data'!$S$2="","",'Raw Data'!$S$4)</f>
        <v>Stupid Smartass Psycho</v>
      </c>
      <c r="C175" s="45" t="str">
        <f>IF(B175="","",_xlfn.XLOOKUP(B175,'Raw Data'!$P$3:$P$16,'Raw Data'!$Q$3:$Q$16,0,0,1))</f>
        <v>Nate</v>
      </c>
      <c r="D175" s="68">
        <f>IF('Raw Data'!$S$5="","",'Raw Data'!$S$5)</f>
        <v>136.84</v>
      </c>
      <c r="E175" s="18" t="s">
        <v>1</v>
      </c>
      <c r="F175" s="68">
        <f>IF('Raw Data'!$S$3="","",'Raw Data'!$S$3)</f>
        <v>143.75</v>
      </c>
      <c r="G175" s="45" t="str">
        <f>IF(H175="","",_xlfn.XLOOKUP(H175,'Raw Data'!$P$3:$P$16,'Raw Data'!$Q$3:$Q$16,0,0,1))</f>
        <v>Dave</v>
      </c>
      <c r="H175" s="19" t="str">
        <f>IF('Raw Data'!$S$2="","",'Raw Data'!$S$2)</f>
        <v>SqueakSqueakinSqueakSqueakity</v>
      </c>
      <c r="I175" s="23" t="str">
        <f t="shared" si="15"/>
        <v>L</v>
      </c>
      <c r="J175" s="23" t="str">
        <f t="shared" si="12"/>
        <v>N/A</v>
      </c>
      <c r="K175" s="23" t="str">
        <f t="shared" si="13"/>
        <v>N/A</v>
      </c>
      <c r="L175" s="25">
        <f t="shared" si="14"/>
        <v>-6.9099999999999966</v>
      </c>
    </row>
    <row r="176" spans="1:12" x14ac:dyDescent="0.2">
      <c r="A176" s="20">
        <v>15</v>
      </c>
      <c r="B176" s="69" t="str">
        <f>IF('Raw Data'!$S$2="","",'Raw Data'!$S$9)</f>
        <v>Prince Abooboo</v>
      </c>
      <c r="C176" s="45" t="str">
        <f>IF(B176="","",_xlfn.XLOOKUP(B176,'Raw Data'!$P$3:$P$16,'Raw Data'!$Q$3:$Q$16,0,0,1))</f>
        <v>Stefan</v>
      </c>
      <c r="D176" s="68">
        <f>IF('Raw Data'!$S$10="","",'Raw Data'!$S$10)</f>
        <v>166.14</v>
      </c>
      <c r="E176" s="18" t="s">
        <v>1</v>
      </c>
      <c r="F176" s="68">
        <f>IF('Raw Data'!$S$8="","",'Raw Data'!$S$8)</f>
        <v>130.77000000000001</v>
      </c>
      <c r="G176" s="45" t="str">
        <f>IF(H176="","",_xlfn.XLOOKUP(H176,'Raw Data'!$P$3:$P$16,'Raw Data'!$Q$3:$Q$16,0,0,1))</f>
        <v>Eddie</v>
      </c>
      <c r="H176" s="19" t="str">
        <f>IF('Raw Data'!$S$2="","",'Raw Data'!$S$7)</f>
        <v>The Rescuers vs Medusa</v>
      </c>
      <c r="I176" s="23" t="str">
        <f t="shared" si="15"/>
        <v>W</v>
      </c>
      <c r="J176" s="23" t="str">
        <f t="shared" si="12"/>
        <v>N/A</v>
      </c>
      <c r="K176" s="23" t="str">
        <f t="shared" si="13"/>
        <v>N/A</v>
      </c>
      <c r="L176" s="25">
        <f t="shared" si="14"/>
        <v>35.369999999999976</v>
      </c>
    </row>
    <row r="177" spans="1:12" x14ac:dyDescent="0.2">
      <c r="A177" s="20">
        <v>15</v>
      </c>
      <c r="B177" s="69" t="str">
        <f>IF('Raw Data'!$S$2="","",'Raw Data'!$S$14)</f>
        <v>5 Dozen Eggs by Gaston</v>
      </c>
      <c r="C177" s="45" t="str">
        <f>IF(B177="","",_xlfn.XLOOKUP(B177,'Raw Data'!$P$3:$P$16,'Raw Data'!$Q$3:$Q$16,0,0,1))</f>
        <v>Steve</v>
      </c>
      <c r="D177" s="68">
        <f>IF('Raw Data'!$S$15="","",'Raw Data'!$S$15)</f>
        <v>74.599999999999994</v>
      </c>
      <c r="E177" s="18" t="s">
        <v>1</v>
      </c>
      <c r="F177" s="68">
        <f>IF('Raw Data'!$S$13="","",'Raw Data'!$S$13)</f>
        <v>104.89</v>
      </c>
      <c r="G177" s="45" t="str">
        <f>IF(H177="","",_xlfn.XLOOKUP(H177,'Raw Data'!$P$3:$P$16,'Raw Data'!$Q$3:$Q$16,0,0,1))</f>
        <v>Ian</v>
      </c>
      <c r="H177" s="19" t="str">
        <f>IF('Raw Data'!$S$2="","",'Raw Data'!$S$12)</f>
        <v>Aladdin Jazerra</v>
      </c>
      <c r="I177" s="23" t="str">
        <f t="shared" si="15"/>
        <v>L</v>
      </c>
      <c r="J177" s="23" t="str">
        <f t="shared" si="12"/>
        <v>N/A</v>
      </c>
      <c r="K177" s="23" t="str">
        <f t="shared" si="13"/>
        <v>N/A</v>
      </c>
      <c r="L177" s="25">
        <f t="shared" si="14"/>
        <v>-30.290000000000006</v>
      </c>
    </row>
    <row r="178" spans="1:12" x14ac:dyDescent="0.2">
      <c r="A178" s="20">
        <v>15</v>
      </c>
      <c r="B178" s="69" t="str">
        <f>IF('Raw Data'!$S$2="","",'Raw Data'!$S$19)</f>
        <v>We're all mad here</v>
      </c>
      <c r="C178" s="45" t="str">
        <f>IF(B178="","",_xlfn.XLOOKUP(B178,'Raw Data'!$P$3:$P$16,'Raw Data'!$Q$3:$Q$16,0,0,1))</f>
        <v>Rico</v>
      </c>
      <c r="D178" s="68">
        <f>IF('Raw Data'!$S$20="","",'Raw Data'!$S$20)</f>
        <v>59.16</v>
      </c>
      <c r="E178" s="18" t="s">
        <v>1</v>
      </c>
      <c r="F178" s="68">
        <f>IF('Raw Data'!$S$18="","",'Raw Data'!$S$18)</f>
        <v>133.62</v>
      </c>
      <c r="G178" s="45" t="str">
        <f>IF(H178="","",_xlfn.XLOOKUP(H178,'Raw Data'!$P$3:$P$16,'Raw Data'!$Q$3:$Q$16,0,0,1))</f>
        <v>Jared</v>
      </c>
      <c r="H178" s="19" t="str">
        <f>IF('Raw Data'!$S$2="","",'Raw Data'!$S$17)</f>
        <v>Tick Tock the Crocodile</v>
      </c>
      <c r="I178" s="23" t="str">
        <f t="shared" si="15"/>
        <v>L</v>
      </c>
      <c r="J178" s="23" t="str">
        <f t="shared" si="12"/>
        <v>N/A</v>
      </c>
      <c r="K178" s="23" t="str">
        <f t="shared" si="13"/>
        <v>N/A</v>
      </c>
      <c r="L178" s="25">
        <f t="shared" si="14"/>
        <v>-74.460000000000008</v>
      </c>
    </row>
    <row r="179" spans="1:12" x14ac:dyDescent="0.2">
      <c r="A179" s="20">
        <v>16</v>
      </c>
      <c r="B179" s="69" t="str">
        <f>IF('Raw Data'!$T$2="","",'Raw Data'!$T$2)</f>
        <v>SqueakSqueakinSqueakSqueakity</v>
      </c>
      <c r="C179" s="45" t="str">
        <f>IF(B179="","",_xlfn.XLOOKUP(B179,'Raw Data'!$P$3:$P$16,'Raw Data'!$Q$3:$Q$16,0,0,1))</f>
        <v>Dave</v>
      </c>
      <c r="D179" s="68">
        <f>IF('Raw Data'!$T$3="","",'Raw Data'!$T$3)</f>
        <v>165.97</v>
      </c>
      <c r="E179" s="18" t="s">
        <v>1</v>
      </c>
      <c r="F179" s="68">
        <f>IF('Raw Data'!$T$5="","",'Raw Data'!$T$5)</f>
        <v>151.06</v>
      </c>
      <c r="G179" s="45" t="str">
        <f>IF(H179="","",_xlfn.XLOOKUP(H179,'Raw Data'!$P$3:$P$16,'Raw Data'!$Q$3:$Q$16,0,0,1))</f>
        <v>Beau</v>
      </c>
      <c r="H179" s="19" t="str">
        <f>IF('Raw Data'!$T$4="","",'Raw Data'!$T$4)</f>
        <v>Jafar</v>
      </c>
      <c r="I179" s="23" t="str">
        <f t="shared" si="15"/>
        <v>W</v>
      </c>
      <c r="J179" s="23" t="str">
        <f t="shared" si="12"/>
        <v>N/A</v>
      </c>
      <c r="K179" s="23" t="str">
        <f t="shared" si="13"/>
        <v>N/A</v>
      </c>
      <c r="L179" s="25">
        <f t="shared" si="14"/>
        <v>14.909999999999997</v>
      </c>
    </row>
    <row r="180" spans="1:12" x14ac:dyDescent="0.2">
      <c r="A180" s="20">
        <v>16</v>
      </c>
      <c r="B180" s="69" t="str">
        <f>IF('Raw Data'!$T$7="","",'Raw Data'!$T$7)</f>
        <v>Prince Abooboo</v>
      </c>
      <c r="C180" s="45" t="str">
        <f>IF(B180="","",_xlfn.XLOOKUP(B180,'Raw Data'!$P$3:$P$16,'Raw Data'!$Q$3:$Q$16,0,0,1))</f>
        <v>Stefan</v>
      </c>
      <c r="D180" s="68">
        <f>IF('Raw Data'!$T$8="","",'Raw Data'!$T$8)</f>
        <v>128.91999999999999</v>
      </c>
      <c r="E180" s="18" t="s">
        <v>1</v>
      </c>
      <c r="F180" s="68">
        <f>IF('Raw Data'!$T$10="","",'Raw Data'!$T$10)</f>
        <v>195.13</v>
      </c>
      <c r="G180" s="45" t="str">
        <f>IF(H180="","",_xlfn.XLOOKUP(H180,'Raw Data'!$P$3:$P$16,'Raw Data'!$Q$3:$Q$16,0,0,1))</f>
        <v>Dylan</v>
      </c>
      <c r="H180" s="19" t="str">
        <f>IF('Raw Data'!$T$9="","",'Raw Data'!$T$9)</f>
        <v>Herbie's Honkers</v>
      </c>
      <c r="I180" s="23" t="str">
        <f t="shared" si="15"/>
        <v>L</v>
      </c>
      <c r="J180" s="23" t="str">
        <f t="shared" si="12"/>
        <v>N/A</v>
      </c>
      <c r="K180" s="23" t="str">
        <f t="shared" si="13"/>
        <v>N/A</v>
      </c>
      <c r="L180" s="25">
        <f t="shared" si="14"/>
        <v>-66.210000000000008</v>
      </c>
    </row>
    <row r="181" spans="1:12" x14ac:dyDescent="0.2">
      <c r="A181" s="20">
        <v>16</v>
      </c>
      <c r="B181" s="69" t="str">
        <f>IF('Raw Data'!$T$12="","",'Raw Data'!$T$12)</f>
        <v>5 Dozen Eggs by Gaston</v>
      </c>
      <c r="C181" s="45" t="str">
        <f>IF(B181="","",_xlfn.XLOOKUP(B181,'Raw Data'!$P$3:$P$16,'Raw Data'!$Q$3:$Q$16,0,0,1))</f>
        <v>Steve</v>
      </c>
      <c r="D181" s="68">
        <f>IF('Raw Data'!$T$13="","",'Raw Data'!$T$13)</f>
        <v>148</v>
      </c>
      <c r="E181" s="18" t="s">
        <v>1</v>
      </c>
      <c r="F181" s="68">
        <f>IF('Raw Data'!$T$15="","",'Raw Data'!$T$15)</f>
        <v>137.24</v>
      </c>
      <c r="G181" s="45" t="str">
        <f>IF(H181="","",_xlfn.XLOOKUP(H181,'Raw Data'!$P$3:$P$16,'Raw Data'!$Q$3:$Q$16,0,0,1))</f>
        <v>Tom</v>
      </c>
      <c r="H181" s="19" t="str">
        <f>IF('Raw Data'!$T$14="","",'Raw Data'!$T$14)</f>
        <v>Wrong Lever!</v>
      </c>
      <c r="I181" s="23" t="str">
        <f t="shared" si="15"/>
        <v>W</v>
      </c>
      <c r="J181" s="23" t="str">
        <f t="shared" si="12"/>
        <v>N/A</v>
      </c>
      <c r="K181" s="23" t="str">
        <f t="shared" si="13"/>
        <v>N/A</v>
      </c>
      <c r="L181" s="25">
        <f t="shared" si="14"/>
        <v>10.759999999999991</v>
      </c>
    </row>
    <row r="182" spans="1:12" x14ac:dyDescent="0.2">
      <c r="A182" s="20">
        <v>16</v>
      </c>
      <c r="B182" s="69" t="str">
        <f>IF('Raw Data'!$T$17="","",'Raw Data'!$T$17)</f>
        <v>We're all mad here</v>
      </c>
      <c r="C182" s="45" t="str">
        <f>IF(B182="","",_xlfn.XLOOKUP(B182,'Raw Data'!$P$3:$P$16,'Raw Data'!$Q$3:$Q$16,0,0,1))</f>
        <v>Rico</v>
      </c>
      <c r="D182" s="68">
        <f>IF('Raw Data'!$T$18="","",'Raw Data'!$T$18)</f>
        <v>83.49</v>
      </c>
      <c r="E182" s="18" t="s">
        <v>1</v>
      </c>
      <c r="F182" s="68">
        <f>IF('Raw Data'!$T$20="","",'Raw Data'!$T$20)</f>
        <v>108.48</v>
      </c>
      <c r="G182" s="45" t="str">
        <f>IF(H182="","",_xlfn.XLOOKUP(H182,'Raw Data'!$P$3:$P$16,'Raw Data'!$Q$3:$Q$16,0,0,1))</f>
        <v>Justin</v>
      </c>
      <c r="H182" s="19" t="str">
        <f>IF('Raw Data'!$T$19="","",'Raw Data'!$T$19)</f>
        <v>The Goob Troop</v>
      </c>
      <c r="I182" s="23" t="str">
        <f t="shared" si="15"/>
        <v>L</v>
      </c>
      <c r="J182" s="23" t="str">
        <f t="shared" si="12"/>
        <v>N/A</v>
      </c>
      <c r="K182" s="23" t="str">
        <f t="shared" si="13"/>
        <v>N/A</v>
      </c>
      <c r="L182" s="25">
        <f t="shared" si="14"/>
        <v>-24.990000000000009</v>
      </c>
    </row>
    <row r="183" spans="1:12" x14ac:dyDescent="0.2">
      <c r="A183" s="20">
        <v>16</v>
      </c>
      <c r="B183" s="69" t="str">
        <f>IF('Raw Data'!$T$22="","",'Raw Data'!$T$22)</f>
        <v>Stupid Smartass Psycho</v>
      </c>
      <c r="C183" s="45" t="str">
        <f>IF(B183="","",_xlfn.XLOOKUP(B183,'Raw Data'!$P$3:$P$16,'Raw Data'!$Q$3:$Q$16,0,0,1))</f>
        <v>Nate</v>
      </c>
      <c r="D183" s="68">
        <f>IF('Raw Data'!$T$23="","",'Raw Data'!$T$23)</f>
        <v>84.89</v>
      </c>
      <c r="E183" s="18" t="s">
        <v>1</v>
      </c>
      <c r="F183" s="68">
        <f>IF('Raw Data'!$T$25="","",'Raw Data'!$T$25)</f>
        <v>117.21</v>
      </c>
      <c r="G183" s="45" t="str">
        <f>IF(H183="","",_xlfn.XLOOKUP(H183,'Raw Data'!$P$3:$P$16,'Raw Data'!$Q$3:$Q$16,0,0,1))</f>
        <v>Eddie</v>
      </c>
      <c r="H183" s="19" t="str">
        <f>IF('Raw Data'!$T$24="","",'Raw Data'!$T$24)</f>
        <v>The Rescuers vs Medusa</v>
      </c>
      <c r="I183" s="23" t="str">
        <f t="shared" si="15"/>
        <v>L</v>
      </c>
      <c r="J183" s="23" t="str">
        <f t="shared" si="12"/>
        <v>N/A</v>
      </c>
      <c r="K183" s="23" t="str">
        <f t="shared" si="13"/>
        <v>N/A</v>
      </c>
      <c r="L183" s="25">
        <f t="shared" si="14"/>
        <v>-32.319999999999993</v>
      </c>
    </row>
    <row r="184" spans="1:12" x14ac:dyDescent="0.2">
      <c r="A184" s="20">
        <v>16</v>
      </c>
      <c r="B184" s="69" t="str">
        <f>IF('Raw Data'!$T$27="","",'Raw Data'!$T$27)</f>
        <v>Aladdin Jazerra</v>
      </c>
      <c r="C184" s="45" t="str">
        <f>IF(B184="","",_xlfn.XLOOKUP(B184,'Raw Data'!$P$3:$P$16,'Raw Data'!$Q$3:$Q$16,0,0,1))</f>
        <v>Ian</v>
      </c>
      <c r="D184" s="68">
        <f>IF('Raw Data'!$T$28="","",'Raw Data'!$T$28)</f>
        <v>141.11000000000001</v>
      </c>
      <c r="E184" s="18" t="s">
        <v>1</v>
      </c>
      <c r="F184" s="68">
        <f>IF('Raw Data'!$T$30="","",'Raw Data'!$T$30)</f>
        <v>79.510000000000005</v>
      </c>
      <c r="G184" s="45" t="str">
        <f>IF(H184="","",_xlfn.XLOOKUP(H184,'Raw Data'!$P$3:$P$16,'Raw Data'!$Q$3:$Q$16,0,0,1))</f>
        <v>Jared</v>
      </c>
      <c r="H184" s="19" t="str">
        <f>IF('Raw Data'!$T$29="","",'Raw Data'!$T$29)</f>
        <v>Tick Tock the Crocodile</v>
      </c>
      <c r="I184" s="23" t="str">
        <f t="shared" si="15"/>
        <v>W</v>
      </c>
      <c r="J184" s="23" t="str">
        <f t="shared" si="12"/>
        <v>N/A</v>
      </c>
      <c r="K184" s="23" t="str">
        <f t="shared" si="13"/>
        <v>N/A</v>
      </c>
      <c r="L184" s="25">
        <f t="shared" si="14"/>
        <v>61.600000000000009</v>
      </c>
    </row>
    <row r="185" spans="1:12" x14ac:dyDescent="0.2">
      <c r="A185" s="20">
        <v>16</v>
      </c>
      <c r="B185" s="69" t="str">
        <f>IF('Raw Data'!$T$4="","",'Raw Data'!$T$4)</f>
        <v>Jafar</v>
      </c>
      <c r="C185" s="45" t="str">
        <f>IF(B185="","",_xlfn.XLOOKUP(B185,'Raw Data'!$P$3:$P$16,'Raw Data'!$Q$3:$Q$16,0,0,1))</f>
        <v>Beau</v>
      </c>
      <c r="D185" s="68">
        <f>IF('Raw Data'!$T$5="","",'Raw Data'!$T$5)</f>
        <v>151.06</v>
      </c>
      <c r="E185" s="18" t="s">
        <v>1</v>
      </c>
      <c r="F185" s="68">
        <f>IF('Raw Data'!$T$3="","",'Raw Data'!$T$3)</f>
        <v>165.97</v>
      </c>
      <c r="G185" s="45" t="str">
        <f>IF(H185="","",_xlfn.XLOOKUP(H185,'Raw Data'!$P$3:$P$16,'Raw Data'!$Q$3:$Q$16,0,0,1))</f>
        <v>Dave</v>
      </c>
      <c r="H185" s="19" t="str">
        <f>IF('Raw Data'!$T$2="","",'Raw Data'!$T$2)</f>
        <v>SqueakSqueakinSqueakSqueakity</v>
      </c>
      <c r="I185" s="23" t="str">
        <f t="shared" si="15"/>
        <v>L</v>
      </c>
      <c r="J185" s="23" t="str">
        <f t="shared" si="12"/>
        <v>N/A</v>
      </c>
      <c r="K185" s="23" t="str">
        <f t="shared" si="13"/>
        <v>N/A</v>
      </c>
      <c r="L185" s="25">
        <f t="shared" si="14"/>
        <v>-14.909999999999997</v>
      </c>
    </row>
    <row r="186" spans="1:12" x14ac:dyDescent="0.2">
      <c r="A186" s="20">
        <v>16</v>
      </c>
      <c r="B186" s="69" t="str">
        <f>IF('Raw Data'!$T$9="","",'Raw Data'!$T$9)</f>
        <v>Herbie's Honkers</v>
      </c>
      <c r="C186" s="45" t="str">
        <f>IF(B186="","",_xlfn.XLOOKUP(B186,'Raw Data'!$P$3:$P$16,'Raw Data'!$Q$3:$Q$16,0,0,1))</f>
        <v>Dylan</v>
      </c>
      <c r="D186" s="68">
        <f>IF('Raw Data'!$T$10="","",'Raw Data'!$T$10)</f>
        <v>195.13</v>
      </c>
      <c r="E186" s="18" t="s">
        <v>1</v>
      </c>
      <c r="F186" s="68">
        <f>IF('Raw Data'!$T$8="","",'Raw Data'!$T$8)</f>
        <v>128.91999999999999</v>
      </c>
      <c r="G186" s="45" t="str">
        <f>IF(H186="","",_xlfn.XLOOKUP(H186,'Raw Data'!$P$3:$P$16,'Raw Data'!$Q$3:$Q$16,0,0,1))</f>
        <v>Stefan</v>
      </c>
      <c r="H186" s="19" t="str">
        <f>IF('Raw Data'!$T$7="","",'Raw Data'!$T$7)</f>
        <v>Prince Abooboo</v>
      </c>
      <c r="I186" s="23" t="str">
        <f t="shared" si="15"/>
        <v>W</v>
      </c>
      <c r="J186" s="23" t="str">
        <f t="shared" si="12"/>
        <v>N/A</v>
      </c>
      <c r="K186" s="23" t="str">
        <f t="shared" si="13"/>
        <v>N/A</v>
      </c>
      <c r="L186" s="25">
        <f t="shared" si="14"/>
        <v>66.210000000000008</v>
      </c>
    </row>
    <row r="187" spans="1:12" x14ac:dyDescent="0.2">
      <c r="A187" s="20">
        <v>16</v>
      </c>
      <c r="B187" s="69" t="str">
        <f>IF('Raw Data'!$T$14="","",'Raw Data'!$T$14)</f>
        <v>Wrong Lever!</v>
      </c>
      <c r="C187" s="45" t="str">
        <f>IF(B187="","",_xlfn.XLOOKUP(B187,'Raw Data'!$P$3:$P$16,'Raw Data'!$Q$3:$Q$16,0,0,1))</f>
        <v>Tom</v>
      </c>
      <c r="D187" s="68">
        <f>IF('Raw Data'!$T$15="","",'Raw Data'!$T$15)</f>
        <v>137.24</v>
      </c>
      <c r="E187" s="18" t="s">
        <v>1</v>
      </c>
      <c r="F187" s="68">
        <f>IF('Raw Data'!$T$13="","",'Raw Data'!$T$13)</f>
        <v>148</v>
      </c>
      <c r="G187" s="45" t="str">
        <f>IF(H187="","",_xlfn.XLOOKUP(H187,'Raw Data'!$P$3:$P$16,'Raw Data'!$Q$3:$Q$16,0,0,1))</f>
        <v>Steve</v>
      </c>
      <c r="H187" s="19" t="str">
        <f>IF('Raw Data'!$T$12="","",'Raw Data'!$T$12)</f>
        <v>5 Dozen Eggs by Gaston</v>
      </c>
      <c r="I187" s="23" t="str">
        <f t="shared" si="15"/>
        <v>L</v>
      </c>
      <c r="J187" s="23" t="str">
        <f t="shared" si="12"/>
        <v>N/A</v>
      </c>
      <c r="K187" s="23" t="str">
        <f t="shared" si="13"/>
        <v>N/A</v>
      </c>
      <c r="L187" s="25">
        <f t="shared" si="14"/>
        <v>-10.759999999999991</v>
      </c>
    </row>
    <row r="188" spans="1:12" x14ac:dyDescent="0.2">
      <c r="A188" s="20">
        <v>16</v>
      </c>
      <c r="B188" s="69" t="str">
        <f>IF('Raw Data'!$T$19="","",'Raw Data'!$T$19)</f>
        <v>The Goob Troop</v>
      </c>
      <c r="C188" s="45" t="str">
        <f>IF(B188="","",_xlfn.XLOOKUP(B188,'Raw Data'!$P$3:$P$16,'Raw Data'!$Q$3:$Q$16,0,0,1))</f>
        <v>Justin</v>
      </c>
      <c r="D188" s="68">
        <f>IF('Raw Data'!$T$20="","",'Raw Data'!$T$20)</f>
        <v>108.48</v>
      </c>
      <c r="E188" s="18" t="s">
        <v>1</v>
      </c>
      <c r="F188" s="68">
        <f>IF('Raw Data'!$T$18="","",'Raw Data'!$T$18)</f>
        <v>83.49</v>
      </c>
      <c r="G188" s="45" t="str">
        <f>IF(H188="","",_xlfn.XLOOKUP(H188,'Raw Data'!$P$3:$P$16,'Raw Data'!$Q$3:$Q$16,0,0,1))</f>
        <v>Rico</v>
      </c>
      <c r="H188" s="19" t="str">
        <f>IF('Raw Data'!$T$17="","",'Raw Data'!$T$17)</f>
        <v>We're all mad here</v>
      </c>
      <c r="I188" s="23" t="str">
        <f t="shared" si="15"/>
        <v>W</v>
      </c>
      <c r="J188" s="23" t="str">
        <f t="shared" si="12"/>
        <v>N/A</v>
      </c>
      <c r="K188" s="23" t="str">
        <f t="shared" si="13"/>
        <v>N/A</v>
      </c>
      <c r="L188" s="25">
        <f t="shared" si="14"/>
        <v>24.990000000000009</v>
      </c>
    </row>
    <row r="189" spans="1:12" x14ac:dyDescent="0.2">
      <c r="A189" s="20">
        <v>16</v>
      </c>
      <c r="B189" s="69" t="str">
        <f>IF('Raw Data'!$T$24="","",'Raw Data'!$T$24)</f>
        <v>The Rescuers vs Medusa</v>
      </c>
      <c r="C189" s="45" t="str">
        <f>IF(B189="","",_xlfn.XLOOKUP(B189,'Raw Data'!$P$3:$P$16,'Raw Data'!$Q$3:$Q$16,0,0,1))</f>
        <v>Eddie</v>
      </c>
      <c r="D189" s="68">
        <f>IF('Raw Data'!$T$25="","",'Raw Data'!$T$25)</f>
        <v>117.21</v>
      </c>
      <c r="E189" s="18" t="s">
        <v>1</v>
      </c>
      <c r="F189" s="68">
        <f>IF('Raw Data'!$T$23="","",'Raw Data'!$T$23)</f>
        <v>84.89</v>
      </c>
      <c r="G189" s="45" t="str">
        <f>IF(H189="","",_xlfn.XLOOKUP(H189,'Raw Data'!$P$3:$P$16,'Raw Data'!$Q$3:$Q$16,0,0,1))</f>
        <v>Nate</v>
      </c>
      <c r="H189" s="19" t="str">
        <f>IF('Raw Data'!$T$22="","",'Raw Data'!$T$22)</f>
        <v>Stupid Smartass Psycho</v>
      </c>
      <c r="I189" s="23" t="str">
        <f t="shared" si="15"/>
        <v>W</v>
      </c>
      <c r="J189" s="23" t="str">
        <f t="shared" si="12"/>
        <v>N/A</v>
      </c>
      <c r="K189" s="23" t="str">
        <f t="shared" si="13"/>
        <v>N/A</v>
      </c>
      <c r="L189" s="25">
        <f t="shared" si="14"/>
        <v>32.319999999999993</v>
      </c>
    </row>
    <row r="190" spans="1:12" x14ac:dyDescent="0.2">
      <c r="A190" s="20">
        <v>16</v>
      </c>
      <c r="B190" s="69" t="str">
        <f>IF('Raw Data'!$T$29="","",'Raw Data'!$T$29)</f>
        <v>Tick Tock the Crocodile</v>
      </c>
      <c r="C190" s="45" t="str">
        <f>IF(B190="","",_xlfn.XLOOKUP(B190,'Raw Data'!$P$3:$P$16,'Raw Data'!$Q$3:$Q$16,0,0,1))</f>
        <v>Jared</v>
      </c>
      <c r="D190" s="68">
        <f>IF('Raw Data'!$T$30="","",'Raw Data'!$T$30)</f>
        <v>79.510000000000005</v>
      </c>
      <c r="E190" s="18" t="s">
        <v>1</v>
      </c>
      <c r="F190" s="68">
        <f>IF('Raw Data'!$T$28="","",'Raw Data'!$T$28)</f>
        <v>141.11000000000001</v>
      </c>
      <c r="G190" s="45" t="str">
        <f>IF(H190="","",_xlfn.XLOOKUP(H190,'Raw Data'!$P$3:$P$16,'Raw Data'!$Q$3:$Q$16,0,0,1))</f>
        <v>Ian</v>
      </c>
      <c r="H190" s="19" t="str">
        <f>IF('Raw Data'!$T$27="","",'Raw Data'!$T$27)</f>
        <v>Aladdin Jazerra</v>
      </c>
      <c r="I190" s="23" t="str">
        <f t="shared" si="15"/>
        <v>L</v>
      </c>
      <c r="J190" s="23" t="str">
        <f t="shared" si="12"/>
        <v>N/A</v>
      </c>
      <c r="K190" s="23" t="str">
        <f t="shared" si="13"/>
        <v>N/A</v>
      </c>
      <c r="L190" s="25">
        <f t="shared" si="14"/>
        <v>-61.600000000000009</v>
      </c>
    </row>
    <row r="191" spans="1:12" x14ac:dyDescent="0.2">
      <c r="A191" s="20">
        <v>17</v>
      </c>
      <c r="B191" s="69" t="str">
        <f>IF('Raw Data'!$U$2="","",'Raw Data'!$U$2)</f>
        <v>SqueakSqueakinSqueakSqueakity</v>
      </c>
      <c r="C191" s="45" t="str">
        <f>IF(B191="","",_xlfn.XLOOKUP(B191,'Raw Data'!$P$3:$P$16,'Raw Data'!$Q$3:$Q$16,0,0,1))</f>
        <v>Dave</v>
      </c>
      <c r="D191" s="68">
        <f>IF('Raw Data'!$U$3="","",'Raw Data'!$U$3)</f>
        <v>120.18</v>
      </c>
      <c r="E191" s="18" t="s">
        <v>1</v>
      </c>
      <c r="F191" s="68">
        <f>IF('Raw Data'!$U$5="","",'Raw Data'!$U$5)</f>
        <v>179.4</v>
      </c>
      <c r="G191" s="45" t="str">
        <f>IF(H191="","",_xlfn.XLOOKUP(H191,'Raw Data'!$P$3:$P$16,'Raw Data'!$Q$3:$Q$16,0,0,1))</f>
        <v>Dylan</v>
      </c>
      <c r="H191" s="19" t="str">
        <f>IF('Raw Data'!$U$4="","",'Raw Data'!$U$4)</f>
        <v>Herbie's Honkers</v>
      </c>
      <c r="I191" s="23" t="str">
        <f t="shared" si="15"/>
        <v>L</v>
      </c>
      <c r="J191" s="23" t="str">
        <f t="shared" si="12"/>
        <v>N/A</v>
      </c>
      <c r="K191" s="23" t="str">
        <f t="shared" si="13"/>
        <v>N/A</v>
      </c>
      <c r="L191" s="25">
        <f t="shared" si="14"/>
        <v>-59.22</v>
      </c>
    </row>
    <row r="192" spans="1:12" x14ac:dyDescent="0.2">
      <c r="A192" s="20">
        <v>17</v>
      </c>
      <c r="B192" s="69" t="str">
        <f>IF('Raw Data'!$U$7="","",'Raw Data'!$U$7)</f>
        <v>Jafar</v>
      </c>
      <c r="C192" s="45" t="str">
        <f>IF(B192="","",_xlfn.XLOOKUP(B192,'Raw Data'!$P$3:$P$16,'Raw Data'!$Q$3:$Q$16,0,0,1))</f>
        <v>Beau</v>
      </c>
      <c r="D192" s="68">
        <f>IF('Raw Data'!$U$8="","",'Raw Data'!$U$8)</f>
        <v>113.68</v>
      </c>
      <c r="E192" s="18" t="s">
        <v>1</v>
      </c>
      <c r="F192" s="68">
        <f>IF('Raw Data'!$U$10="","",'Raw Data'!$U$10)</f>
        <v>97.38</v>
      </c>
      <c r="G192" s="45" t="str">
        <f>IF(H192="","",_xlfn.XLOOKUP(H192,'Raw Data'!$P$3:$P$16,'Raw Data'!$Q$3:$Q$16,0,0,1))</f>
        <v>Stefan</v>
      </c>
      <c r="H192" s="19" t="str">
        <f>IF('Raw Data'!$U$9="","",'Raw Data'!$U$9)</f>
        <v>Prince Abooboo</v>
      </c>
      <c r="I192" s="23" t="str">
        <f t="shared" si="15"/>
        <v>W</v>
      </c>
      <c r="J192" s="23" t="str">
        <f t="shared" si="12"/>
        <v>N/A</v>
      </c>
      <c r="K192" s="23" t="str">
        <f t="shared" si="13"/>
        <v>N/A</v>
      </c>
      <c r="L192" s="25">
        <f t="shared" si="14"/>
        <v>16.300000000000011</v>
      </c>
    </row>
    <row r="193" spans="1:12" x14ac:dyDescent="0.2">
      <c r="A193" s="20">
        <v>17</v>
      </c>
      <c r="B193" s="69" t="str">
        <f>IF('Raw Data'!$U$12="","",'Raw Data'!$U$12)</f>
        <v>Wrong Lever!</v>
      </c>
      <c r="C193" s="45" t="str">
        <f>IF(B193="","",_xlfn.XLOOKUP(B193,'Raw Data'!$P$3:$P$16,'Raw Data'!$Q$3:$Q$16,0,0,1))</f>
        <v>Tom</v>
      </c>
      <c r="D193" s="68">
        <f>IF('Raw Data'!$U$13="","",'Raw Data'!$U$13)</f>
        <v>74.37</v>
      </c>
      <c r="E193" s="18" t="s">
        <v>1</v>
      </c>
      <c r="F193" s="68">
        <f>IF('Raw Data'!$U$15="","",'Raw Data'!$U$15)</f>
        <v>78.510000000000005</v>
      </c>
      <c r="G193" s="45" t="str">
        <f>IF(H193="","",_xlfn.XLOOKUP(H193,'Raw Data'!$P$3:$P$16,'Raw Data'!$Q$3:$Q$16,0,0,1))</f>
        <v>Rico</v>
      </c>
      <c r="H193" s="19" t="str">
        <f>IF('Raw Data'!$U$14="","",'Raw Data'!$U$14)</f>
        <v>We're all mad here</v>
      </c>
      <c r="I193" s="23" t="str">
        <f t="shared" si="15"/>
        <v>L</v>
      </c>
      <c r="J193" s="23" t="str">
        <f t="shared" si="12"/>
        <v>N/A</v>
      </c>
      <c r="K193" s="23" t="str">
        <f t="shared" si="13"/>
        <v>N/A</v>
      </c>
      <c r="L193" s="25">
        <f t="shared" si="14"/>
        <v>-4.1400000000000006</v>
      </c>
    </row>
    <row r="194" spans="1:12" x14ac:dyDescent="0.2">
      <c r="A194" s="20">
        <v>17</v>
      </c>
      <c r="B194" s="69" t="str">
        <f>IF('Raw Data'!$U$17="","",'Raw Data'!$U$17)</f>
        <v>5 Dozen Eggs by Gaston</v>
      </c>
      <c r="C194" s="45" t="str">
        <f>IF(B194="","",_xlfn.XLOOKUP(B194,'Raw Data'!$P$3:$P$16,'Raw Data'!$Q$3:$Q$16,0,0,1))</f>
        <v>Steve</v>
      </c>
      <c r="D194" s="68">
        <f>IF('Raw Data'!$U$18="","",'Raw Data'!$U$18)</f>
        <v>159.74</v>
      </c>
      <c r="E194" s="18" t="s">
        <v>1</v>
      </c>
      <c r="F194" s="68">
        <f>IF('Raw Data'!$U$20="","",'Raw Data'!$U$20)</f>
        <v>106.85</v>
      </c>
      <c r="G194" s="45" t="str">
        <f>IF(H194="","",_xlfn.XLOOKUP(H194,'Raw Data'!$P$3:$P$16,'Raw Data'!$Q$3:$Q$16,0,0,1))</f>
        <v>Justin</v>
      </c>
      <c r="H194" s="19" t="str">
        <f>IF('Raw Data'!$U$19="","",'Raw Data'!$U$19)</f>
        <v>The Goob Troop</v>
      </c>
      <c r="I194" s="23" t="str">
        <f t="shared" si="15"/>
        <v>W</v>
      </c>
      <c r="J194" s="23" t="str">
        <f t="shared" si="12"/>
        <v>N/A</v>
      </c>
      <c r="K194" s="23" t="str">
        <f t="shared" si="13"/>
        <v>N/A</v>
      </c>
      <c r="L194" s="25">
        <f t="shared" si="14"/>
        <v>52.890000000000015</v>
      </c>
    </row>
    <row r="195" spans="1:12" x14ac:dyDescent="0.2">
      <c r="A195" s="20">
        <v>17</v>
      </c>
      <c r="B195" s="69" t="str">
        <f>IF('Raw Data'!$U$4="","",'Raw Data'!$U$4)</f>
        <v>Herbie's Honkers</v>
      </c>
      <c r="C195" s="45" t="str">
        <f>IF(B195="","",_xlfn.XLOOKUP(B195,'Raw Data'!$P$3:$P$16,'Raw Data'!$Q$3:$Q$16,0,0,1))</f>
        <v>Dylan</v>
      </c>
      <c r="D195" s="68">
        <f>IF('Raw Data'!$U$5="","",'Raw Data'!$U$5)</f>
        <v>179.4</v>
      </c>
      <c r="E195" s="18" t="s">
        <v>1</v>
      </c>
      <c r="F195" s="68">
        <f>IF('Raw Data'!$U$3="","",'Raw Data'!$U$3)</f>
        <v>120.18</v>
      </c>
      <c r="G195" s="45" t="str">
        <f>IF(H195="","",_xlfn.XLOOKUP(H195,'Raw Data'!$P$3:$P$16,'Raw Data'!$Q$3:$Q$16,0,0,1))</f>
        <v>Dave</v>
      </c>
      <c r="H195" s="19" t="str">
        <f>IF('Raw Data'!$U$2="","",'Raw Data'!$U$2)</f>
        <v>SqueakSqueakinSqueakSqueakity</v>
      </c>
      <c r="I195" s="23" t="str">
        <f t="shared" si="15"/>
        <v>W</v>
      </c>
      <c r="J195" s="23" t="str">
        <f t="shared" si="12"/>
        <v>N/A</v>
      </c>
      <c r="K195" s="23" t="str">
        <f t="shared" si="13"/>
        <v>N/A</v>
      </c>
      <c r="L195" s="25">
        <f t="shared" si="14"/>
        <v>59.22</v>
      </c>
    </row>
    <row r="196" spans="1:12" x14ac:dyDescent="0.2">
      <c r="A196" s="20">
        <v>17</v>
      </c>
      <c r="B196" s="69" t="str">
        <f>IF('Raw Data'!$U$9="","",'Raw Data'!$U$9)</f>
        <v>Prince Abooboo</v>
      </c>
      <c r="C196" s="45" t="str">
        <f>IF(B196="","",_xlfn.XLOOKUP(B196,'Raw Data'!$P$3:$P$16,'Raw Data'!$Q$3:$Q$16,0,0,1))</f>
        <v>Stefan</v>
      </c>
      <c r="D196" s="68">
        <f>IF('Raw Data'!$U$10="","",'Raw Data'!$U$10)</f>
        <v>97.38</v>
      </c>
      <c r="E196" s="18" t="s">
        <v>1</v>
      </c>
      <c r="F196" s="68">
        <f>IF('Raw Data'!$U$8="","",'Raw Data'!$U$8)</f>
        <v>113.68</v>
      </c>
      <c r="G196" s="45" t="str">
        <f>IF(H196="","",_xlfn.XLOOKUP(H196,'Raw Data'!$P$3:$P$16,'Raw Data'!$Q$3:$Q$16,0,0,1))</f>
        <v>Beau</v>
      </c>
      <c r="H196" s="19" t="str">
        <f>IF('Raw Data'!$U$7="","",'Raw Data'!$U$7)</f>
        <v>Jafar</v>
      </c>
      <c r="I196" s="23" t="str">
        <f t="shared" si="15"/>
        <v>L</v>
      </c>
      <c r="J196" s="23" t="str">
        <f t="shared" ref="J196:J198" si="16">IF(B196="","",IF(A196&gt;14,"N/A",IF(B196="","",COUNTIFS($A$3:$A$173,$A196,$D$3:$D$173,"&gt;"&amp;D196)+1)))</f>
        <v>N/A</v>
      </c>
      <c r="K196" s="23" t="str">
        <f t="shared" ref="K196:K198" si="17">IF(B196="","",IF(A196&gt;14,"N/A",IF(J196&lt;7,"W","L")))</f>
        <v>N/A</v>
      </c>
      <c r="L196" s="25">
        <f t="shared" ref="L196:L198" si="18">IF(B196="","",IFERROR(D196-F196,""))</f>
        <v>-16.300000000000011</v>
      </c>
    </row>
    <row r="197" spans="1:12" x14ac:dyDescent="0.2">
      <c r="A197" s="20">
        <v>17</v>
      </c>
      <c r="B197" s="69" t="str">
        <f>IF('Raw Data'!$U$14="","",'Raw Data'!$U$14)</f>
        <v>We're all mad here</v>
      </c>
      <c r="C197" s="45" t="str">
        <f>IF(B197="","",_xlfn.XLOOKUP(B197,'Raw Data'!$P$3:$P$16,'Raw Data'!$Q$3:$Q$16,0,0,1))</f>
        <v>Rico</v>
      </c>
      <c r="D197" s="68">
        <f>IF('Raw Data'!$U$15="","",'Raw Data'!$U$15)</f>
        <v>78.510000000000005</v>
      </c>
      <c r="E197" s="18" t="s">
        <v>1</v>
      </c>
      <c r="F197" s="68">
        <f>IF('Raw Data'!$U$13="","",'Raw Data'!$U$13)</f>
        <v>74.37</v>
      </c>
      <c r="G197" s="45" t="str">
        <f>IF(H197="","",_xlfn.XLOOKUP(H197,'Raw Data'!$P$3:$P$16,'Raw Data'!$Q$3:$Q$16,0,0,1))</f>
        <v>Tom</v>
      </c>
      <c r="H197" s="19" t="str">
        <f>IF('Raw Data'!$U$12="","",'Raw Data'!$U$12)</f>
        <v>Wrong Lever!</v>
      </c>
      <c r="I197" s="23" t="str">
        <f t="shared" si="15"/>
        <v>W</v>
      </c>
      <c r="J197" s="23" t="str">
        <f t="shared" si="16"/>
        <v>N/A</v>
      </c>
      <c r="K197" s="23" t="str">
        <f t="shared" si="17"/>
        <v>N/A</v>
      </c>
      <c r="L197" s="25">
        <f t="shared" si="18"/>
        <v>4.1400000000000006</v>
      </c>
    </row>
    <row r="198" spans="1:12" x14ac:dyDescent="0.2">
      <c r="A198" s="20">
        <v>17</v>
      </c>
      <c r="B198" s="69" t="str">
        <f>IF('Raw Data'!$U$19="","",'Raw Data'!$U$19)</f>
        <v>The Goob Troop</v>
      </c>
      <c r="C198" s="45" t="str">
        <f>IF(B198="","",_xlfn.XLOOKUP(B198,'Raw Data'!$P$3:$P$16,'Raw Data'!$Q$3:$Q$16,0,0,1))</f>
        <v>Justin</v>
      </c>
      <c r="D198" s="68">
        <f>IF('Raw Data'!$U$20="","",'Raw Data'!$U$20)</f>
        <v>106.85</v>
      </c>
      <c r="E198" s="18" t="s">
        <v>1</v>
      </c>
      <c r="F198" s="68">
        <f>IF('Raw Data'!$U$18="","",'Raw Data'!$U$18)</f>
        <v>159.74</v>
      </c>
      <c r="G198" s="45" t="str">
        <f>IF(H198="","",_xlfn.XLOOKUP(H198,'Raw Data'!$P$3:$P$16,'Raw Data'!$Q$3:$Q$16,0,0,1))</f>
        <v>Steve</v>
      </c>
      <c r="H198" s="19" t="str">
        <f>IF('Raw Data'!$U$17="","",'Raw Data'!$U$17)</f>
        <v>5 Dozen Eggs by Gaston</v>
      </c>
      <c r="I198" s="23" t="str">
        <f t="shared" si="15"/>
        <v>L</v>
      </c>
      <c r="J198" s="23" t="str">
        <f t="shared" si="16"/>
        <v>N/A</v>
      </c>
      <c r="K198" s="23" t="str">
        <f t="shared" si="17"/>
        <v>N/A</v>
      </c>
      <c r="L198" s="25">
        <f t="shared" si="18"/>
        <v>-52.890000000000015</v>
      </c>
    </row>
  </sheetData>
  <sortState xmlns:xlrd2="http://schemas.microsoft.com/office/spreadsheetml/2017/richdata2" ref="M14:O25">
    <sortCondition descending="1" ref="O14:O25"/>
  </sortState>
  <mergeCells count="19">
    <mergeCell ref="AZ2:BB2"/>
    <mergeCell ref="BC2:BE2"/>
    <mergeCell ref="BF2:BH2"/>
    <mergeCell ref="BI2:BK2"/>
    <mergeCell ref="BL2:BN2"/>
    <mergeCell ref="F2:H2"/>
    <mergeCell ref="B2:D2"/>
    <mergeCell ref="N1:V1"/>
    <mergeCell ref="A1:J1"/>
    <mergeCell ref="Y1:BN1"/>
    <mergeCell ref="Y2:AA2"/>
    <mergeCell ref="AB2:AD2"/>
    <mergeCell ref="AE2:AG2"/>
    <mergeCell ref="AH2:AJ2"/>
    <mergeCell ref="AK2:AM2"/>
    <mergeCell ref="AN2:AP2"/>
    <mergeCell ref="AQ2:AS2"/>
    <mergeCell ref="AT2:AV2"/>
    <mergeCell ref="AW2:AY2"/>
  </mergeCells>
  <conditionalFormatting sqref="N3:N14">
    <cfRule type="duplicateValues" dxfId="88" priority="1"/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4B813-0821-4A22-942D-9835E031F962}">
  <sheetPr>
    <tabColor rgb="FF0070C0"/>
  </sheetPr>
  <dimension ref="B1:U24"/>
  <sheetViews>
    <sheetView showGridLines="0" tabSelected="1" workbookViewId="0">
      <selection activeCell="Q22" sqref="Q22"/>
    </sheetView>
  </sheetViews>
  <sheetFormatPr defaultRowHeight="15" x14ac:dyDescent="0.25"/>
  <cols>
    <col min="1" max="1" width="1.42578125" customWidth="1"/>
    <col min="3" max="3" width="1.42578125" customWidth="1"/>
    <col min="4" max="4" width="3.42578125" bestFit="1" customWidth="1"/>
    <col min="5" max="5" width="32.28515625" bestFit="1" customWidth="1"/>
    <col min="6" max="8" width="3.140625" customWidth="1"/>
    <col min="9" max="9" width="4" customWidth="1"/>
    <col min="10" max="11" width="9.140625" customWidth="1"/>
    <col min="19" max="19" width="7.5703125" bestFit="1" customWidth="1"/>
    <col min="20" max="20" width="32.28515625" hidden="1" customWidth="1"/>
  </cols>
  <sheetData>
    <row r="1" spans="2:21" s="6" customFormat="1" x14ac:dyDescent="0.25">
      <c r="C1" s="9"/>
      <c r="D1" s="9"/>
      <c r="E1" s="9"/>
      <c r="F1" s="9"/>
      <c r="G1" s="9"/>
      <c r="H1" s="9"/>
      <c r="I1" s="9"/>
      <c r="J1" s="9"/>
      <c r="K1" s="9"/>
      <c r="L1" s="9"/>
    </row>
    <row r="2" spans="2:21" x14ac:dyDescent="0.25">
      <c r="B2" s="8" t="s">
        <v>75</v>
      </c>
      <c r="C2" s="8"/>
      <c r="D2" s="8"/>
      <c r="E2" s="8"/>
      <c r="F2" s="8" t="s">
        <v>20</v>
      </c>
      <c r="G2" s="8" t="s">
        <v>21</v>
      </c>
      <c r="H2" s="8" t="s">
        <v>22</v>
      </c>
      <c r="I2" s="8"/>
      <c r="J2" s="8" t="s">
        <v>23</v>
      </c>
      <c r="K2" s="8" t="s">
        <v>24</v>
      </c>
      <c r="L2" s="9"/>
    </row>
    <row r="3" spans="2:21" x14ac:dyDescent="0.25">
      <c r="B3" s="70">
        <f>IFERROR(13-D3,"")</f>
        <v>12</v>
      </c>
      <c r="C3" s="11">
        <v>1</v>
      </c>
      <c r="D3" s="12">
        <f>IFERROR(_xlfn.XLOOKUP(E3,Calculations!$Q$3:$Q$14,Calculations!$O$3:$O$14,0,0,1),"")</f>
        <v>1</v>
      </c>
      <c r="E3" s="9" t="str">
        <f>IFERROR(VLOOKUP(C3,Calculations!$P$3:$Q$6,2,FALSE),"")</f>
        <v>Herbie's Honkers</v>
      </c>
      <c r="F3" s="10">
        <f>IFERROR(_xlfn.XLOOKUP(E3,Calculations!$Q$3:$Q$14,Calculations!$R$3:$R$14,0,0,1),"")</f>
        <v>21</v>
      </c>
      <c r="G3" s="10">
        <f>IFERROR(_xlfn.XLOOKUP(E3,Calculations!$Q$3:$Q$14,Calculations!$S$3:$S$14,0,0,1),"")</f>
        <v>7</v>
      </c>
      <c r="H3" s="10">
        <f>IFERROR(_xlfn.XLOOKUP(E3,Calculations!$Q$3:$Q$14,Calculations!$T$3:$T$14,0,0,1),"")</f>
        <v>0</v>
      </c>
      <c r="I3" s="10"/>
      <c r="J3" s="76">
        <f>IFERROR(_xlfn.XLOOKUP(E3,Calculations!$Q$3:$Q$14,Calculations!$U$3:$U$14,0,0,1),"")</f>
        <v>1948.8900000000003</v>
      </c>
      <c r="K3" s="76">
        <f>IFERROR(_xlfn.XLOOKUP(E3,Calculations!$Q$3:$Q$14,Calculations!$V$3:$V$14,0,0,1),"")</f>
        <v>1827.34</v>
      </c>
      <c r="L3" s="9"/>
    </row>
    <row r="4" spans="2:21" x14ac:dyDescent="0.25">
      <c r="B4" s="70">
        <f t="shared" ref="B4:B6" si="0">IFERROR(13-D4,"")</f>
        <v>11</v>
      </c>
      <c r="C4" s="11">
        <v>2</v>
      </c>
      <c r="D4" s="12">
        <f>IFERROR(_xlfn.XLOOKUP(E4,Calculations!$Q$3:$Q$14,Calculations!$O$3:$O$14,0,0,1),"")</f>
        <v>2</v>
      </c>
      <c r="E4" s="9" t="str">
        <f>IFERROR(VLOOKUP(C4,Calculations!$P$3:$Q$6,2,FALSE),"")</f>
        <v>Jafar</v>
      </c>
      <c r="F4" s="10">
        <f>IFERROR(_xlfn.XLOOKUP(E4,Calculations!$Q$3:$Q$14,Calculations!$R$3:$R$14,0,0,1),"")</f>
        <v>19</v>
      </c>
      <c r="G4" s="10">
        <f>IFERROR(_xlfn.XLOOKUP(E4,Calculations!$Q$3:$Q$14,Calculations!$S$3:$S$14,0,0,1),"")</f>
        <v>9</v>
      </c>
      <c r="H4" s="10">
        <f>IFERROR(_xlfn.XLOOKUP(E4,Calculations!$Q$3:$Q$14,Calculations!$T$3:$T$14,0,0,1),"")</f>
        <v>0</v>
      </c>
      <c r="I4" s="10"/>
      <c r="J4" s="76">
        <f>IFERROR(_xlfn.XLOOKUP(E4,Calculations!$Q$3:$Q$14,Calculations!$U$3:$U$14,0,0,1),"")</f>
        <v>1840.37</v>
      </c>
      <c r="K4" s="76">
        <f>IFERROR(_xlfn.XLOOKUP(E4,Calculations!$Q$3:$Q$14,Calculations!$V$3:$V$14,0,0,1),"")</f>
        <v>1773.1200000000001</v>
      </c>
      <c r="L4" s="9"/>
      <c r="Q4" s="37" t="s">
        <v>39</v>
      </c>
      <c r="R4" s="33">
        <f>IF(Calculations!$B$3="","",MAX('Weekly Pts'!$P$3:$P$14))</f>
        <v>1948.8900000000003</v>
      </c>
      <c r="S4" s="10" t="str">
        <f>IF(R4="","",_xlfn.XLOOKUP(T4,'Raw Data'!$P$3:$P$16,'Raw Data'!$Q$3:$Q$16,0,0,1))</f>
        <v>Dylan</v>
      </c>
      <c r="T4" t="str">
        <f>IF(R4="","",_xlfn.XLOOKUP(R4,'Weekly Pts'!$P$3:$P$14,'Weekly Pts'!$A$3:$A$14,0,0,1))</f>
        <v>Herbie's Honkers</v>
      </c>
    </row>
    <row r="5" spans="2:21" x14ac:dyDescent="0.25">
      <c r="B5" s="70">
        <f t="shared" si="0"/>
        <v>7</v>
      </c>
      <c r="C5" s="11">
        <v>3</v>
      </c>
      <c r="D5" s="12">
        <f>IFERROR(_xlfn.XLOOKUP(E5,Calculations!$Q$3:$Q$14,Calculations!$O$3:$O$14,0,0,1),"")</f>
        <v>6</v>
      </c>
      <c r="E5" s="9" t="str">
        <f>IFERROR(VLOOKUP(C5,Calculations!$P$3:$Q$6,2,FALSE),"")</f>
        <v>Stupid Smartass Psycho</v>
      </c>
      <c r="F5" s="10">
        <f>IFERROR(_xlfn.XLOOKUP(E5,Calculations!$Q$3:$Q$14,Calculations!$R$3:$R$14,0,0,1),"")</f>
        <v>14</v>
      </c>
      <c r="G5" s="10">
        <f>IFERROR(_xlfn.XLOOKUP(E5,Calculations!$Q$3:$Q$14,Calculations!$S$3:$S$14,0,0,1),"")</f>
        <v>14</v>
      </c>
      <c r="H5" s="10">
        <f>IFERROR(_xlfn.XLOOKUP(E5,Calculations!$Q$3:$Q$14,Calculations!$T$3:$T$14,0,0,1),"")</f>
        <v>0</v>
      </c>
      <c r="I5" s="10"/>
      <c r="J5" s="76">
        <f>IFERROR(_xlfn.XLOOKUP(E5,Calculations!$Q$3:$Q$14,Calculations!$U$3:$U$14,0,0,1),"")</f>
        <v>1699.94</v>
      </c>
      <c r="K5" s="76">
        <f>IFERROR(_xlfn.XLOOKUP(E5,Calculations!$Q$3:$Q$14,Calculations!$V$3:$V$14,0,0,1),"")</f>
        <v>1635.94</v>
      </c>
      <c r="L5" s="9"/>
      <c r="Q5" s="37" t="s">
        <v>40</v>
      </c>
      <c r="R5" s="33">
        <f>IF(Calculations!$B$3="","",MAX('Weekly Pts'!$B$3:$O$14))</f>
        <v>179.6</v>
      </c>
      <c r="S5" s="10" t="str">
        <f>IF(R5="","",_xlfn.XLOOKUP(T5,'Raw Data'!$P$3:$P$16,'Raw Data'!$Q$3:$Q$16,0,0,1))</f>
        <v>Ian</v>
      </c>
      <c r="T5" t="str">
        <f>IF(R5="","",_xlfn.XLOOKUP($R$5,'Weekly Pts'!$S$3:$S$14,'Weekly Pts'!$A$3:$A$14,0,0,1))</f>
        <v>Aladdin Jazerra</v>
      </c>
      <c r="U5" s="57" t="str">
        <f>IF(R5="","","Week "&amp;_xlfn.XLOOKUP($R$5,Calculations!$D$3:$D$170,Calculations!$A$3:$A$170,0,0,1))</f>
        <v>Week 8</v>
      </c>
    </row>
    <row r="6" spans="2:21" x14ac:dyDescent="0.25">
      <c r="B6" s="70">
        <f t="shared" si="0"/>
        <v>2</v>
      </c>
      <c r="C6" s="11">
        <v>4</v>
      </c>
      <c r="D6" s="12">
        <f>IFERROR(_xlfn.XLOOKUP(E6,Calculations!$Q$3:$Q$14,Calculations!$O$3:$O$14,0,0,1),"")</f>
        <v>11</v>
      </c>
      <c r="E6" s="9" t="str">
        <f>IFERROR(VLOOKUP(C6,Calculations!$P$3:$Q$6,2,FALSE),"")</f>
        <v>The Goob Troop</v>
      </c>
      <c r="F6" s="10">
        <f>IFERROR(_xlfn.XLOOKUP(E6,Calculations!$Q$3:$Q$14,Calculations!$R$3:$R$14,0,0,1),"")</f>
        <v>10</v>
      </c>
      <c r="G6" s="10">
        <f>IFERROR(_xlfn.XLOOKUP(E6,Calculations!$Q$3:$Q$14,Calculations!$S$3:$S$14,0,0,1),"")</f>
        <v>18</v>
      </c>
      <c r="H6" s="10">
        <f>IFERROR(_xlfn.XLOOKUP(E6,Calculations!$Q$3:$Q$14,Calculations!$T$3:$T$14,0,0,1),"")</f>
        <v>0</v>
      </c>
      <c r="I6" s="10"/>
      <c r="J6" s="76">
        <f>IFERROR(_xlfn.XLOOKUP(E6,Calculations!$Q$3:$Q$14,Calculations!$U$3:$U$14,0,0,1),"")</f>
        <v>1629.92</v>
      </c>
      <c r="K6" s="76">
        <f>IFERROR(_xlfn.XLOOKUP(E6,Calculations!$Q$3:$Q$14,Calculations!$V$3:$V$14,0,0,1),"")</f>
        <v>1626.1599999999999</v>
      </c>
      <c r="L6" s="9"/>
      <c r="Q6" s="37" t="s">
        <v>41</v>
      </c>
      <c r="R6" s="33">
        <f>IF(Calculations!$B$3="","",MAX(Calculations!$L$3:$L$170))</f>
        <v>73.679999999999993</v>
      </c>
      <c r="S6" s="10" t="str">
        <f>IF(R6="","",_xlfn.XLOOKUP(T6,'Raw Data'!$P$3:$P$16,'Raw Data'!$Q$3:$Q$16,0,0,1))</f>
        <v>Ian</v>
      </c>
      <c r="T6" s="36" t="str">
        <f>IF(R6="","",_xlfn.XLOOKUP(R6,Calculations!$L$3:$L$170,Calculations!$B$3:$B$170,0,0,1))</f>
        <v>Aladdin Jazerra</v>
      </c>
      <c r="U6" s="57" t="str">
        <f>IF(R6="","","Week "&amp;_xlfn.XLOOKUP(R6,Calculations!$L$3:$L$170,Calculations!$A$3:$A$170,0,0,1))</f>
        <v>Week 8</v>
      </c>
    </row>
    <row r="7" spans="2:21" x14ac:dyDescent="0.25">
      <c r="B7" s="70"/>
      <c r="C7" s="11"/>
      <c r="D7" s="12"/>
      <c r="E7" s="9"/>
      <c r="F7" s="10"/>
      <c r="G7" s="10"/>
      <c r="H7" s="10"/>
      <c r="I7" s="10"/>
      <c r="J7" s="76"/>
      <c r="K7" s="76"/>
      <c r="L7" s="9"/>
      <c r="Q7" s="37" t="s">
        <v>42</v>
      </c>
      <c r="R7" s="33" cm="1">
        <f t="array" ref="R7">IF(Calculations!$B$3="","",MIN(IF(Calculations!$L$3:$L$170&gt;0,Calculations!$L$3:$L$170)))</f>
        <v>0.80000000000001137</v>
      </c>
      <c r="S7" s="10" t="str">
        <f>IF(R7="","",_xlfn.XLOOKUP(T7,'Raw Data'!$P$3:$P$16,'Raw Data'!$Q$3:$Q$16,0,0,1))</f>
        <v>Beau</v>
      </c>
      <c r="T7" t="str">
        <f>IF(R7="","",_xlfn.XLOOKUP(R7,Calculations!$L$3:$L$170,Calculations!$B$3:$B$170,0,0,1))</f>
        <v>Jafar</v>
      </c>
      <c r="U7" s="57" t="str">
        <f>IF(R7="","","Week "&amp;_xlfn.XLOOKUP(R7,Calculations!$L$3:$L$170,Calculations!$A$3:$A$170,0,0,1))</f>
        <v>Week 9</v>
      </c>
    </row>
    <row r="8" spans="2:21" x14ac:dyDescent="0.25">
      <c r="B8" s="70">
        <f>IFERROR(13-D8,"")</f>
        <v>10</v>
      </c>
      <c r="C8" s="11">
        <v>1</v>
      </c>
      <c r="D8" s="12">
        <f>IFERROR(_xlfn.XLOOKUP(E8,Calculations!$Q$3:$Q$14,Calculations!$O$3:$O$14,0,0,1),"")</f>
        <v>3</v>
      </c>
      <c r="E8" s="9" t="str">
        <f>IFERROR(VLOOKUP(C8,Calculations!$P$7:$Q$10,2,FALSE),"")</f>
        <v>SqueakSqueakinSqueakSqueakity</v>
      </c>
      <c r="F8" s="10">
        <f>IFERROR(_xlfn.XLOOKUP(E8,Calculations!$Q$3:$Q$14,Calculations!$R$3:$R$14,0,0,1),"")</f>
        <v>17</v>
      </c>
      <c r="G8" s="10">
        <f>IFERROR(_xlfn.XLOOKUP(E8,Calculations!$Q$3:$Q$14,Calculations!$S$3:$S$14,0,0,1),"")</f>
        <v>11</v>
      </c>
      <c r="H8" s="10">
        <f>IFERROR(_xlfn.XLOOKUP(E8,Calculations!$Q$3:$Q$14,Calculations!$T$3:$T$14,0,0,1),"")</f>
        <v>0</v>
      </c>
      <c r="I8" s="10"/>
      <c r="J8" s="76">
        <f>IFERROR(_xlfn.XLOOKUP(E8,Calculations!$Q$3:$Q$14,Calculations!$U$3:$U$14,0,0,1),"")</f>
        <v>1854.13</v>
      </c>
      <c r="K8" s="76">
        <f>IFERROR(_xlfn.XLOOKUP(E8,Calculations!$Q$3:$Q$14,Calculations!$V$3:$V$14,0,0,1),"")</f>
        <v>1742.4800000000005</v>
      </c>
      <c r="L8" s="9"/>
      <c r="Q8" s="37" t="s">
        <v>43</v>
      </c>
      <c r="R8" s="33">
        <f>IF(Calculations!$B$3="","",MAX('Weekly Pts'!$P$18:$P$29))</f>
        <v>1827.34</v>
      </c>
      <c r="S8" s="10" t="str">
        <f>IF(R8="","",_xlfn.XLOOKUP(T8,'Raw Data'!$P$3:$P$16,'Raw Data'!$Q$3:$Q$16,0,0,1))</f>
        <v>Dylan</v>
      </c>
      <c r="T8" t="str">
        <f>IF(R8="","",_xlfn.XLOOKUP(R8,'Weekly Pts'!$P$18:$P$29,'Weekly Pts'!$A$18:$A$29,0,0,1))</f>
        <v>Herbie's Honkers</v>
      </c>
    </row>
    <row r="9" spans="2:21" x14ac:dyDescent="0.25">
      <c r="B9" s="70">
        <f t="shared" ref="B9:B11" si="1">IFERROR(13-D9,"")</f>
        <v>5</v>
      </c>
      <c r="C9" s="11">
        <v>2</v>
      </c>
      <c r="D9" s="12">
        <f>IFERROR(_xlfn.XLOOKUP(E9,Calculations!$Q$3:$Q$14,Calculations!$O$3:$O$14,0,0,1),"")</f>
        <v>8</v>
      </c>
      <c r="E9" s="9" t="str">
        <f>IFERROR(VLOOKUP(C9,Calculations!$P$7:$Q$10,2,FALSE),"")</f>
        <v>We're all mad here</v>
      </c>
      <c r="F9" s="10">
        <f>IFERROR(_xlfn.XLOOKUP(E9,Calculations!$Q$3:$Q$14,Calculations!$R$3:$R$14,0,0,1),"")</f>
        <v>12</v>
      </c>
      <c r="G9" s="10">
        <f>IFERROR(_xlfn.XLOOKUP(E9,Calculations!$Q$3:$Q$14,Calculations!$S$3:$S$14,0,0,1),"")</f>
        <v>16</v>
      </c>
      <c r="H9" s="10">
        <f>IFERROR(_xlfn.XLOOKUP(E9,Calculations!$Q$3:$Q$14,Calculations!$T$3:$T$14,0,0,1),"")</f>
        <v>0</v>
      </c>
      <c r="I9" s="10"/>
      <c r="J9" s="76">
        <f>IFERROR(_xlfn.XLOOKUP(E9,Calculations!$Q$3:$Q$14,Calculations!$U$3:$U$14,0,0,1),"")</f>
        <v>1696.12</v>
      </c>
      <c r="K9" s="76">
        <f>IFERROR(_xlfn.XLOOKUP(E9,Calculations!$Q$3:$Q$14,Calculations!$V$3:$V$14,0,0,1),"")</f>
        <v>1718.04</v>
      </c>
      <c r="L9" s="9"/>
    </row>
    <row r="10" spans="2:21" x14ac:dyDescent="0.25">
      <c r="B10" s="70">
        <f t="shared" si="1"/>
        <v>4</v>
      </c>
      <c r="C10" s="11">
        <v>3</v>
      </c>
      <c r="D10" s="12">
        <f>IFERROR(_xlfn.XLOOKUP(E10,Calculations!$Q$3:$Q$14,Calculations!$O$3:$O$14,0,0,1),"")</f>
        <v>9</v>
      </c>
      <c r="E10" s="9" t="str">
        <f>IFERROR(VLOOKUP(C10,Calculations!$P$7:$Q$10,2,FALSE),"")</f>
        <v>Tick Tock the Crocodile</v>
      </c>
      <c r="F10" s="10">
        <f>IFERROR(_xlfn.XLOOKUP(E10,Calculations!$Q$3:$Q$14,Calculations!$R$3:$R$14,0,0,1),"")</f>
        <v>12</v>
      </c>
      <c r="G10" s="10">
        <f>IFERROR(_xlfn.XLOOKUP(E10,Calculations!$Q$3:$Q$14,Calculations!$S$3:$S$14,0,0,1),"")</f>
        <v>16</v>
      </c>
      <c r="H10" s="10">
        <f>IFERROR(_xlfn.XLOOKUP(E10,Calculations!$Q$3:$Q$14,Calculations!$T$3:$T$14,0,0,1),"")</f>
        <v>0</v>
      </c>
      <c r="I10" s="10"/>
      <c r="J10" s="76">
        <f>IFERROR(_xlfn.XLOOKUP(E10,Calculations!$Q$3:$Q$14,Calculations!$U$3:$U$14,0,0,1),"")</f>
        <v>1644.1800000000003</v>
      </c>
      <c r="K10" s="76">
        <f>IFERROR(_xlfn.XLOOKUP(E10,Calculations!$Q$3:$Q$14,Calculations!$V$3:$V$14,0,0,1),"")</f>
        <v>1783.4</v>
      </c>
      <c r="L10" s="9"/>
      <c r="R10" s="36"/>
      <c r="S10" s="36"/>
    </row>
    <row r="11" spans="2:21" x14ac:dyDescent="0.25">
      <c r="B11" s="70">
        <f t="shared" si="1"/>
        <v>3</v>
      </c>
      <c r="C11" s="11">
        <v>4</v>
      </c>
      <c r="D11" s="12">
        <f>IFERROR(_xlfn.XLOOKUP(E11,Calculations!$Q$3:$Q$14,Calculations!$O$3:$O$14,0,0,1),"")</f>
        <v>10</v>
      </c>
      <c r="E11" s="9" t="str">
        <f>IFERROR(VLOOKUP(C11,Calculations!$P$7:$Q$10,2,FALSE),"")</f>
        <v>Aladdin Jazerra</v>
      </c>
      <c r="F11" s="10">
        <f>IFERROR(_xlfn.XLOOKUP(E11,Calculations!$Q$3:$Q$14,Calculations!$R$3:$R$14,0,0,1),"")</f>
        <v>11</v>
      </c>
      <c r="G11" s="10">
        <f>IFERROR(_xlfn.XLOOKUP(E11,Calculations!$Q$3:$Q$14,Calculations!$S$3:$S$14,0,0,1),"")</f>
        <v>17</v>
      </c>
      <c r="H11" s="10">
        <f>IFERROR(_xlfn.XLOOKUP(E11,Calculations!$Q$3:$Q$14,Calculations!$T$3:$T$14,0,0,1),"")</f>
        <v>0</v>
      </c>
      <c r="I11" s="10"/>
      <c r="J11" s="76">
        <f>IFERROR(_xlfn.XLOOKUP(E11,Calculations!$Q$3:$Q$14,Calculations!$U$3:$U$14,0,0,1),"")</f>
        <v>1641.5600000000002</v>
      </c>
      <c r="K11" s="76">
        <f>IFERROR(_xlfn.XLOOKUP(E11,Calculations!$Q$3:$Q$14,Calculations!$V$3:$V$14,0,0,1),"")</f>
        <v>1669.07</v>
      </c>
      <c r="L11" s="9"/>
    </row>
    <row r="12" spans="2:21" x14ac:dyDescent="0.25">
      <c r="B12" s="70"/>
      <c r="C12" s="11"/>
      <c r="D12" s="12"/>
      <c r="E12" s="9"/>
      <c r="F12" s="10"/>
      <c r="G12" s="10"/>
      <c r="H12" s="10"/>
      <c r="I12" s="10"/>
      <c r="J12" s="76"/>
      <c r="K12" s="76"/>
      <c r="L12" s="9"/>
    </row>
    <row r="13" spans="2:21" x14ac:dyDescent="0.25">
      <c r="B13" s="70">
        <f>IFERROR(13-D13,"")</f>
        <v>9</v>
      </c>
      <c r="C13" s="11">
        <v>1</v>
      </c>
      <c r="D13" s="12">
        <f>IFERROR(_xlfn.XLOOKUP(E13,Calculations!$Q$3:$Q$14,Calculations!$O$3:$O$14,0,0,1),"")</f>
        <v>4</v>
      </c>
      <c r="E13" s="9" t="str">
        <f>IFERROR(VLOOKUP(C13,Calculations!$P$11:$Q$14,2,FALSE),"")</f>
        <v>The Rescuers vs Medusa</v>
      </c>
      <c r="F13" s="10">
        <f>IFERROR(_xlfn.XLOOKUP(E13,Calculations!$Q$3:$Q$14,Calculations!$R$3:$R$14,0,0,1),"")</f>
        <v>17</v>
      </c>
      <c r="G13" s="10">
        <f>IFERROR(_xlfn.XLOOKUP(E13,Calculations!$Q$3:$Q$14,Calculations!$S$3:$S$14,0,0,1),"")</f>
        <v>11</v>
      </c>
      <c r="H13" s="10">
        <f>IFERROR(_xlfn.XLOOKUP(E13,Calculations!$Q$3:$Q$14,Calculations!$T$3:$T$14,0,0,1),"")</f>
        <v>0</v>
      </c>
      <c r="I13" s="10"/>
      <c r="J13" s="76">
        <f>IFERROR(_xlfn.XLOOKUP(E13,Calculations!$Q$3:$Q$14,Calculations!$U$3:$U$14,0,0,1),"")</f>
        <v>1846.57</v>
      </c>
      <c r="K13" s="76">
        <f>IFERROR(_xlfn.XLOOKUP(E13,Calculations!$Q$3:$Q$14,Calculations!$V$3:$V$14,0,0,1),"")</f>
        <v>1712.3500000000001</v>
      </c>
      <c r="L13" s="9"/>
    </row>
    <row r="14" spans="2:21" x14ac:dyDescent="0.25">
      <c r="B14" s="70">
        <f>IFERROR(13-D14,"")</f>
        <v>8</v>
      </c>
      <c r="C14" s="11">
        <v>2</v>
      </c>
      <c r="D14" s="12">
        <f>IFERROR(_xlfn.XLOOKUP(E14,Calculations!$Q$3:$Q$14,Calculations!$O$3:$O$14,0,0,1),"")</f>
        <v>5</v>
      </c>
      <c r="E14" s="9" t="str">
        <f>IFERROR(VLOOKUP(C14,Calculations!$P$11:$Q$14,2,FALSE),"")</f>
        <v>Prince Abooboo</v>
      </c>
      <c r="F14" s="10">
        <f>IFERROR(_xlfn.XLOOKUP(E14,Calculations!$Q$3:$Q$14,Calculations!$R$3:$R$14,0,0,1),"")</f>
        <v>14</v>
      </c>
      <c r="G14" s="10">
        <f>IFERROR(_xlfn.XLOOKUP(E14,Calculations!$Q$3:$Q$14,Calculations!$S$3:$S$14,0,0,1),"")</f>
        <v>14</v>
      </c>
      <c r="H14" s="10">
        <f>IFERROR(_xlfn.XLOOKUP(E14,Calculations!$Q$3:$Q$14,Calculations!$T$3:$T$14,0,0,1),"")</f>
        <v>0</v>
      </c>
      <c r="I14" s="10"/>
      <c r="J14" s="76">
        <f>IFERROR(_xlfn.XLOOKUP(E14,Calculations!$Q$3:$Q$14,Calculations!$U$3:$U$14,0,0,1),"")</f>
        <v>1729.3099999999995</v>
      </c>
      <c r="K14" s="76">
        <f>IFERROR(_xlfn.XLOOKUP(E14,Calculations!$Q$3:$Q$14,Calculations!$V$3:$V$14,0,0,1),"")</f>
        <v>1822.0399999999997</v>
      </c>
      <c r="L14" s="9"/>
    </row>
    <row r="15" spans="2:21" x14ac:dyDescent="0.25">
      <c r="B15" s="70">
        <f>IFERROR(13-D15,"")</f>
        <v>6</v>
      </c>
      <c r="C15" s="11">
        <v>3</v>
      </c>
      <c r="D15" s="12">
        <f>IFERROR(_xlfn.XLOOKUP(E15,Calculations!$Q$3:$Q$14,Calculations!$O$3:$O$14,0,0,1),"")</f>
        <v>7</v>
      </c>
      <c r="E15" s="9" t="str">
        <f>IFERROR(VLOOKUP(C15,Calculations!$P$11:$Q$14,2,FALSE),"")</f>
        <v>5 Dozen Eggs by Gaston</v>
      </c>
      <c r="F15" s="10">
        <f>IFERROR(_xlfn.XLOOKUP(E15,Calculations!$Q$3:$Q$14,Calculations!$R$3:$R$14,0,0,1),"")</f>
        <v>13</v>
      </c>
      <c r="G15" s="10">
        <f>IFERROR(_xlfn.XLOOKUP(E15,Calculations!$Q$3:$Q$14,Calculations!$S$3:$S$14,0,0,1),"")</f>
        <v>15</v>
      </c>
      <c r="H15" s="10">
        <f>IFERROR(_xlfn.XLOOKUP(E15,Calculations!$Q$3:$Q$14,Calculations!$T$3:$T$14,0,0,1),"")</f>
        <v>0</v>
      </c>
      <c r="I15" s="10"/>
      <c r="J15" s="76">
        <f>IFERROR(_xlfn.XLOOKUP(E15,Calculations!$Q$3:$Q$14,Calculations!$U$3:$U$14,0,0,1),"")</f>
        <v>1782.38</v>
      </c>
      <c r="K15" s="76">
        <f>IFERROR(_xlfn.XLOOKUP(E15,Calculations!$Q$3:$Q$14,Calculations!$V$3:$V$14,0,0,1),"")</f>
        <v>1794.7099999999998</v>
      </c>
      <c r="L15" s="9"/>
    </row>
    <row r="16" spans="2:21" x14ac:dyDescent="0.25">
      <c r="B16" s="70">
        <f>IFERROR(13-D16,"")</f>
        <v>1</v>
      </c>
      <c r="C16" s="11">
        <v>4</v>
      </c>
      <c r="D16" s="12">
        <f>IFERROR(_xlfn.XLOOKUP(E16,Calculations!$Q$3:$Q$14,Calculations!$O$3:$O$14,0,0,1),"")</f>
        <v>12</v>
      </c>
      <c r="E16" s="9" t="str">
        <f>IFERROR(VLOOKUP(C16,Calculations!$P$11:$Q$14,2,FALSE),"")</f>
        <v>Wrong Lever!</v>
      </c>
      <c r="F16" s="10">
        <f>IFERROR(_xlfn.XLOOKUP(E16,Calculations!$Q$3:$Q$14,Calculations!$R$3:$R$14,0,0,1),"")</f>
        <v>6</v>
      </c>
      <c r="G16" s="10">
        <f>IFERROR(_xlfn.XLOOKUP(E16,Calculations!$Q$3:$Q$14,Calculations!$S$3:$S$14,0,0,1),"")</f>
        <v>22</v>
      </c>
      <c r="H16" s="10">
        <f>IFERROR(_xlfn.XLOOKUP(E16,Calculations!$Q$3:$Q$14,Calculations!$T$3:$T$14,0,0,1),"")</f>
        <v>0</v>
      </c>
      <c r="I16" s="10"/>
      <c r="J16" s="76">
        <f>IFERROR(_xlfn.XLOOKUP(E16,Calculations!$Q$3:$Q$14,Calculations!$U$3:$U$14,0,0,1),"")</f>
        <v>1525.99</v>
      </c>
      <c r="K16" s="76">
        <f>IFERROR(_xlfn.XLOOKUP(E16,Calculations!$Q$3:$Q$14,Calculations!$V$3:$V$14,0,0,1),"")</f>
        <v>1734.7099999999998</v>
      </c>
      <c r="L16" s="9"/>
    </row>
    <row r="17" spans="3:12" x14ac:dyDescent="0.25">
      <c r="C17" s="9"/>
      <c r="D17" s="9"/>
      <c r="E17" s="9"/>
      <c r="F17" s="9"/>
      <c r="G17" s="9"/>
      <c r="H17" s="9"/>
      <c r="I17" s="9"/>
      <c r="J17" s="77"/>
      <c r="K17" s="77"/>
      <c r="L17" s="9"/>
    </row>
    <row r="18" spans="3:12" x14ac:dyDescent="0.25">
      <c r="C18" s="9"/>
      <c r="D18" s="9"/>
      <c r="E18" s="9"/>
      <c r="F18" s="9"/>
      <c r="G18" s="9"/>
      <c r="H18" s="9"/>
      <c r="I18" s="9"/>
      <c r="J18" s="77"/>
      <c r="K18" s="77"/>
    </row>
    <row r="19" spans="3:12" x14ac:dyDescent="0.25">
      <c r="J19" s="36"/>
      <c r="K19" s="36"/>
    </row>
    <row r="20" spans="3:12" x14ac:dyDescent="0.25">
      <c r="J20" s="36"/>
      <c r="K20" s="36"/>
    </row>
    <row r="21" spans="3:12" x14ac:dyDescent="0.25">
      <c r="J21" s="36"/>
      <c r="K21" s="36"/>
    </row>
    <row r="22" spans="3:12" x14ac:dyDescent="0.25">
      <c r="J22" s="36"/>
      <c r="K22" s="36"/>
    </row>
    <row r="23" spans="3:12" x14ac:dyDescent="0.25">
      <c r="J23" s="36"/>
      <c r="K23" s="36"/>
    </row>
    <row r="24" spans="3:12" x14ac:dyDescent="0.25">
      <c r="J24" s="36"/>
      <c r="K24" s="3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EB1B3-CA44-4D30-A479-C32F945673B2}">
  <sheetPr>
    <tabColor rgb="FF0070C0"/>
  </sheetPr>
  <dimension ref="A1:K48"/>
  <sheetViews>
    <sheetView showGridLines="0" workbookViewId="0">
      <selection activeCell="O14" sqref="O14"/>
    </sheetView>
  </sheetViews>
  <sheetFormatPr defaultRowHeight="15" x14ac:dyDescent="0.25"/>
  <cols>
    <col min="1" max="1" width="2.5703125" style="66" customWidth="1"/>
    <col min="2" max="2" width="42.85546875" customWidth="1"/>
    <col min="3" max="3" width="2.5703125" style="66" customWidth="1"/>
    <col min="4" max="4" width="42.85546875" customWidth="1"/>
    <col min="5" max="5" width="2.5703125" style="66" customWidth="1"/>
    <col min="6" max="6" width="42.85546875" customWidth="1"/>
    <col min="7" max="7" width="2.5703125" customWidth="1"/>
    <col min="8" max="8" width="42.85546875" customWidth="1"/>
  </cols>
  <sheetData>
    <row r="1" spans="1:11" ht="20.25" thickBot="1" x14ac:dyDescent="0.35">
      <c r="B1" s="100" t="s">
        <v>72</v>
      </c>
      <c r="C1" s="100"/>
      <c r="D1" s="100"/>
      <c r="E1" s="100"/>
      <c r="F1" s="100"/>
      <c r="G1" s="100"/>
      <c r="H1" s="100"/>
    </row>
    <row r="2" spans="1:11" ht="15.75" thickTop="1" x14ac:dyDescent="0.25"/>
    <row r="3" spans="1:11" x14ac:dyDescent="0.25">
      <c r="B3" s="4" t="s">
        <v>68</v>
      </c>
      <c r="D3" s="4" t="s">
        <v>69</v>
      </c>
      <c r="F3" s="4" t="s">
        <v>70</v>
      </c>
      <c r="J3" s="75" t="s">
        <v>76</v>
      </c>
      <c r="K3" t="str">
        <f>IF(H9="","",
IF(E6="W",Calculations!C191,Calculations!G191))</f>
        <v>Dylan</v>
      </c>
    </row>
    <row r="4" spans="1:11" x14ac:dyDescent="0.25">
      <c r="J4" s="75" t="s">
        <v>77</v>
      </c>
      <c r="K4" t="str">
        <f>IF(H9="","",
IF(E6="L",Calculations!C191,Calculations!G191))</f>
        <v>Dave</v>
      </c>
    </row>
    <row r="5" spans="1:11" x14ac:dyDescent="0.25">
      <c r="C5" s="66" t="str">
        <f>IF(C7="","",
IF(C7="W","L","W"))</f>
        <v>L</v>
      </c>
      <c r="D5" s="47" t="str">
        <f>IF($B$6="","",
IF(A6="","",
IF(Calculations!$F$179="",IF($A$8="W",B17,B18),
IF($A$8="W",B17&amp;" - "&amp;TEXT(Calculations!$F$179,"0.00"),B18&amp;" - "&amp;TEXT(Calculations!$F$179,"0.00"))
)))</f>
        <v>#2 Jafar - 151.06</v>
      </c>
      <c r="J5" s="75" t="s">
        <v>78</v>
      </c>
      <c r="K5" t="str">
        <f>IF(H22="","",
IF(E21="W",Calculations!C192,Calculations!G192))</f>
        <v>Beau</v>
      </c>
    </row>
    <row r="6" spans="1:11" x14ac:dyDescent="0.25">
      <c r="A6" s="66" t="str">
        <f>Calculations!$I$171</f>
        <v>W</v>
      </c>
      <c r="B6" s="47" t="str">
        <f>IF(Calculations!$B$171="","",
IF(Calculations!$D$171="","#3 "&amp;VLOOKUP(3,Calculations!$N$3:$Q$14,4,FALSE),
"#3 "&amp;VLOOKUP(3,Calculations!$N$3:$Q$14,4,FALSE)&amp;" - "&amp;TEXT(Calculations!$D$171,"0.00")
))</f>
        <v>#3 SqueakSqueakinSqueakSqueakity - 143.75</v>
      </c>
      <c r="D6" s="48"/>
      <c r="E6" s="67" t="str">
        <f>Calculations!$I$191</f>
        <v>L</v>
      </c>
      <c r="F6" s="47" t="str">
        <f>IF($B$6="","",
IF($C$5="","",
IF(C5="W",IF(Calculations!$D$191="",
IF($A$8="W",B17,B18),IF($A$8="W",B17,B18)&amp;" - "&amp;TEXT(Calculations!$D$191,"0.00")),
IF(Calculations!$D$191="",IF($A$6="W","#3 "&amp;VLOOKUP(3,Calculations!$N$3:$Q$14,4,FALSE),"#6 "&amp;VLOOKUP(6,Calculations!$N$3:$Q$14,4,FALSE)),
IF($A$6="W","#3 "&amp;VLOOKUP(3,Calculations!$N$3:$Q$14,4,FALSE),"#6 "&amp;VLOOKUP(6,Calculations!$N$3:$Q$14,4,FALSE))&amp;" - "&amp;TEXT(Calculations!$D$191,"0.00"))
)))</f>
        <v>#3 SqueakSqueakinSqueakSqueakity - 120.18</v>
      </c>
      <c r="J6" s="75" t="s">
        <v>79</v>
      </c>
      <c r="K6" t="str">
        <f>IF(H22="","",
IF(E21="L",Calculations!C192,Calculations!G192))</f>
        <v>Stefan</v>
      </c>
    </row>
    <row r="7" spans="1:11" x14ac:dyDescent="0.25">
      <c r="B7" s="48"/>
      <c r="C7" s="67" t="str">
        <f>Calculations!$I$179</f>
        <v>W</v>
      </c>
      <c r="D7" s="49" t="str">
        <f>IF($B$6="","",
IF($A$6="","",
IF(Calculations!$D$179="",IF($A$6="W","#3 "&amp;VLOOKUP(3,Calculations!$N$3:$Q$14,4,FALSE),"#6 "&amp;VLOOKUP(6,Calculations!$N$3:$Q$14,4,FALSE)),
IF($A$6="W","#3 "&amp;VLOOKUP(3,Calculations!$N$3:$Q$14,4,FALSE)&amp;" - "&amp;TEXT(Calculations!$D$179,"0.00"),"#6 "&amp;VLOOKUP(6,Calculations!$N$3:$Q$14,4,FALSE)&amp;" - "&amp;TEXT(Calculations!$D$179,"0.00"))
)))</f>
        <v>#3 SqueakSqueakinSqueakSqueakity - 165.97</v>
      </c>
      <c r="F7" s="48"/>
      <c r="J7" s="75" t="s">
        <v>80</v>
      </c>
      <c r="K7" t="str">
        <f>IF(F17="","",
IF(C16="W",Calculations!C183,Calculations!G183))</f>
        <v>Eddie</v>
      </c>
    </row>
    <row r="8" spans="1:11" x14ac:dyDescent="0.25">
      <c r="A8" s="66" t="str">
        <f>Calculations!$I$175</f>
        <v>L</v>
      </c>
      <c r="B8" s="49" t="str">
        <f>IF(Calculations!$B$171="","",
IF(Calculations!$F$171="","#6 "&amp;VLOOKUP(6,Calculations!$N$3:$Q$14,4,FALSE),
"#6 "&amp;VLOOKUP(6,Calculations!$N$3:$Q$14,4,FALSE)&amp;" - "&amp;TEXT(Calculations!$F$171,"0.00")
))</f>
        <v>#6 Stupid Smartass Psycho - 136.84</v>
      </c>
      <c r="F8" s="50"/>
      <c r="J8" s="75" t="s">
        <v>81</v>
      </c>
      <c r="K8" t="str">
        <f>IF(F17="","",
IF(C16="L",Calculations!C183,Calculations!G183))</f>
        <v>Nate</v>
      </c>
    </row>
    <row r="9" spans="1:11" x14ac:dyDescent="0.25">
      <c r="F9" s="50"/>
      <c r="G9" s="51"/>
      <c r="H9" s="47" t="str">
        <f>IF($B$6="","",
IF($E$6="","",
IF($E$6="W",IF($C$5="W",IF($A$8="W",B17,B18),
IF($A$6="W","#3 "&amp;VLOOKUP(3,Calculations!$N$3:$Q$14,4,FALSE),"#6 "&amp;VLOOKUP(6,Calculations!$N$3:$Q$14,4,FALSE))),
IF($C$11="W",IF($A$10="W","#4 "&amp;VLOOKUP(4,Calculations!$N$3:$Q$14,4,FALSE),"#5 "&amp;VLOOKUP(5,Calculations!$N$3:$Q$14,4,FALSE)),
IF($A$8="W",B18,B17))
)))</f>
        <v>#1 Herbie's Honkers</v>
      </c>
    </row>
    <row r="10" spans="1:11" x14ac:dyDescent="0.25">
      <c r="A10" s="66" t="str">
        <f>Calculations!$I$172</f>
        <v>L</v>
      </c>
      <c r="B10" s="47" t="str">
        <f>IF(Calculations!$B$171="","",
IF(Calculations!$D$172="","#4 "&amp;VLOOKUP(4,Calculations!$N$3:$Q$14,4,FALSE),
"#4 "&amp;VLOOKUP(4,Calculations!$N$3:$Q$14,4,FALSE)&amp;" - "&amp;TEXT(Calculations!$D$172,"0.00")
))</f>
        <v>#4 The Rescuers vs Medusa - 130.77</v>
      </c>
      <c r="F10" s="50"/>
    </row>
    <row r="11" spans="1:11" x14ac:dyDescent="0.25">
      <c r="B11" s="48"/>
      <c r="C11" s="67" t="str">
        <f>Calculations!$I$180</f>
        <v>L</v>
      </c>
      <c r="D11" s="47" t="str">
        <f>IF($B$10="","",
IF($A$10="","",
IF(Calculations!$D$180="",IF($A$10="W","#4 "&amp;VLOOKUP(4,Calculations!$N$3:$Q$14,4,FALSE),"#5 "&amp;VLOOKUP(5,Calculations!$N$3:$Q$14,4,FALSE)),
IF($A$10="W","#4 "&amp;VLOOKUP(4,Calculations!$N$3:$Q$14,4,FALSE)&amp;" - "&amp;TEXT(Calculations!$D$180,"0.00"),"#5 "&amp;VLOOKUP(5,Calculations!$N$3:$Q$14,4,FALSE)&amp;" - "&amp;TEXT(Calculations!$D$180,"0.00"))
)))</f>
        <v>#5 Prince Abooboo - 128.92</v>
      </c>
      <c r="F11" s="50"/>
    </row>
    <row r="12" spans="1:11" x14ac:dyDescent="0.25">
      <c r="A12" s="66" t="str">
        <f>Calculations!$I$176</f>
        <v>W</v>
      </c>
      <c r="B12" s="49" t="str">
        <f>IF(Calculations!$B$171="","",
IF(Calculations!$F$172="","#5 "&amp;VLOOKUP(5,Calculations!$N$3:$Q$14,4,FALSE),
"#5 "&amp;VLOOKUP(5,Calculations!$N$3:$Q$14,4,FALSE)&amp;" - "&amp;TEXT(Calculations!$F$172,"0.00")
))</f>
        <v>#5 Prince Abooboo - 166.14</v>
      </c>
      <c r="D12" s="48"/>
      <c r="E12" s="67" t="str">
        <f>IF(E6="","",
IF(E6="L","W","L"))</f>
        <v>W</v>
      </c>
      <c r="F12" s="49" t="str">
        <f>IF($B$6="","",
IF($C$11="","",
IF($C$11="L",IF(Calculations!$F$191="",
IF($A$8="W",B18,B17),IF($A$8="W",B18,B17)&amp;" - "&amp;TEXT(Calculations!$F$191,"0.00")),
IF(Calculations!$F$191="",IF($A$10="W","#4 "&amp;VLOOKUP(4,Calculations!$N$3:$Q$14,4,FALSE),"#5 "&amp;VLOOKUP(5,Calculations!$N$3:$Q$14,4,FALSE)),
IF($A$10="W","#4 "&amp;VLOOKUP(4,Calculations!$N$3:$Q$14,4,FALSE),"#5 "&amp;VLOOKUP(5,Calculations!$N$3:$Q$14,4,FALSE))&amp;" - "&amp;TEXT(Calculations!$F$191,"0.00"))
)))</f>
        <v>#1 Herbie's Honkers - 179.40</v>
      </c>
    </row>
    <row r="13" spans="1:11" x14ac:dyDescent="0.25">
      <c r="C13" s="66" t="str">
        <f>IF($C$11="","",
IF($C$11="W","L","W"
))</f>
        <v>W</v>
      </c>
      <c r="D13" s="49" t="str">
        <f>IF($B$10="","",
IF($A$10="","",
IF(Calculations!$F$180="",IF($A$8="W",B18,B17),
IF($A$8="W",B18&amp;" - "&amp;TEXT(Calculations!$F$180,"0.00"),B17&amp;" - "&amp;TEXT(Calculations!$F$180,"0.00")
))))</f>
        <v>#1 Herbie's Honkers - 195.13</v>
      </c>
    </row>
    <row r="14" spans="1:11" x14ac:dyDescent="0.25">
      <c r="D14" s="36"/>
    </row>
    <row r="16" spans="1:11" x14ac:dyDescent="0.25">
      <c r="B16" s="4" t="s">
        <v>71</v>
      </c>
      <c r="C16" s="66" t="str">
        <f>Calculations!I183</f>
        <v>L</v>
      </c>
      <c r="D16" s="47" t="str">
        <f>IF($A$6="","",
IF('Raw Data'!$T$23="",IF($A$6="L","#3 "&amp;VLOOKUP(3,Calculations!$N$3:$Q$14,4,FALSE),"#6 "&amp;VLOOKUP(6,Calculations!$N$3:$Q$14,4,FALSE)),
IF($A$6="L","#3 "&amp;VLOOKUP(3,Calculations!$N$3:$Q$14,4,FALSE)&amp;" - "&amp;TEXT(Calculations!$D$183,"0.00"),"#6 "&amp;VLOOKUP(6,Calculations!$N$3:$Q$14,4,FALSE)&amp;" - "&amp;TEXT(Calculations!$D$183,"0.00"))
))</f>
        <v>#6 Stupid Smartass Psycho - 84.89</v>
      </c>
    </row>
    <row r="17" spans="1:11" x14ac:dyDescent="0.25">
      <c r="B17" s="2" t="str">
        <f>IF(Calculations!$B$171="","",
"#1 "&amp;(_xlfn.XLOOKUP(1,Standings!$D$3:$D$16,Standings!$E$3:$E$16,0,0,1)))</f>
        <v>#1 Herbie's Honkers</v>
      </c>
      <c r="D17" s="48"/>
      <c r="E17" s="67"/>
      <c r="F17" s="47" t="str">
        <f>IF($B$6="","",
IF($C$16="","",
IF($C$16="W",IF($A$6="L","#3 "&amp;VLOOKUP(3,Calculations!$N$3:$Q$14,4,FALSE),"#6 "&amp;VLOOKUP(6,Calculations!$N$3:$Q$14,4,FALSE)),
IF($A$10="L","#4 "&amp;VLOOKUP(4,Calculations!$N$3:$Q$14,4,FALSE),"#5 "&amp;VLOOKUP(5,Calculations!$N$3:$Q$14,4,FALSE))
)))</f>
        <v>#4 The Rescuers vs Medusa</v>
      </c>
    </row>
    <row r="18" spans="1:11" x14ac:dyDescent="0.25">
      <c r="B18" s="2" t="str">
        <f>IF(Calculations!$B$171="","",
"#2 "&amp;(_xlfn.XLOOKUP(2,Standings!$D$3:$D$16,Standings!$E$3:$E$16,0,0,1)))</f>
        <v>#2 Jafar</v>
      </c>
      <c r="C18" s="66" t="str">
        <f>Calculations!I189</f>
        <v>W</v>
      </c>
      <c r="D18" s="49" t="str">
        <f>IF(A6="","",
IF('Raw Data'!$T$23="",IF($A$10="L","#4 "&amp;VLOOKUP(4,Calculations!$N$3:$Q$14,4,FALSE),"#5 "&amp;VLOOKUP(5,Calculations!$N$3:$Q$14,4,FALSE)),
IF($A$10="L","#4 "&amp;VLOOKUP(4,Calculations!$N$3:$Q$14,4,FALSE)&amp;" - "&amp;TEXT(Calculations!$F$183,"0.00"),"#5 "&amp;VLOOKUP(5,Calculations!$N$3:$Q$14,4,FALSE)&amp;" - "&amp;TEXT(Calculations!$F$183,"0.00"))
))</f>
        <v>#4 The Rescuers vs Medusa - 117.21</v>
      </c>
    </row>
    <row r="21" spans="1:11" x14ac:dyDescent="0.25">
      <c r="E21" s="66" t="str">
        <f>Calculations!$I$192</f>
        <v>W</v>
      </c>
      <c r="F21" s="47" t="str">
        <f>IF($F$6="","",
IF(Calculations!$D$192="",IF($C$5="W",IF($A$6="W","#3 "&amp;VLOOKUP(3,Calculations!$N$3:$Q$14,4,FALSE),"#6 "&amp;VLOOKUP(6,Calculations!$N$3:$Q$14,4,FALSE)),IF($A$8="W",B17,B18)),
IF($C$5="W",IF($A$6="W","#3 "&amp;VLOOKUP(3,Calculations!$N$3:$Q$14,4,FALSE),"#6 "&amp;VLOOKUP(6,Calculations!$N$3:$Q$14,4,FALSE)),IF($A$8="W",B17,B18))&amp;" - "&amp;TEXT(Calculations!$D$192,"0.00")
))</f>
        <v>#2 Jafar - 113.68</v>
      </c>
      <c r="G21" s="58"/>
    </row>
    <row r="22" spans="1:11" x14ac:dyDescent="0.25">
      <c r="F22" s="48"/>
      <c r="G22" s="59"/>
      <c r="H22" s="47" t="str">
        <f>IF($H$9="","",
IF($E$21="W",IF($C$5="W",IF($A$6="W","#3 "&amp;VLOOKUP(3,Calculations!$N$3:$Q$14,4,FALSE),"#6 "&amp;VLOOKUP(6,Calculations!$N$3:$Q$14,4,FALSE)),IF($A$8="W",B17,B18)),
IF(C11="W",IF($A$8="W",B18,B17),IF($A$10="W","#4 "&amp;VLOOKUP(4,Calculations!$N$3:$Q$14,4,FALSE),"#5 "&amp;VLOOKUP(5,Calculations!$N$3:$Q$14,4,FALSE))))
)</f>
        <v>#2 Jafar</v>
      </c>
    </row>
    <row r="23" spans="1:11" x14ac:dyDescent="0.25">
      <c r="E23" s="66" t="str">
        <f>IF(E21="","",
IF($E$21="W","L","W"))</f>
        <v>L</v>
      </c>
      <c r="F23" s="49" t="str">
        <f>IF($F$6="","",
IF(Calculations!$F$192="",IF(C11="W",IF($A$8="W",B18,B17),IF($A$10="W","#4 "&amp;VLOOKUP(4,Calculations!$N$3:$Q$14,4,FALSE),"#5 "&amp;VLOOKUP(5,Calculations!$N$3:$Q$14,4,FALSE))),
IF(C11="W",IF($A$8="W",B18,B17),IF($A$10="W","#4 "&amp;VLOOKUP(4,Calculations!$N$3:$Q$14,4,FALSE),"#5 "&amp;VLOOKUP(5,Calculations!$N$3:$Q$14,4,FALSE)))&amp;" - "&amp;TEXT(Calculations!$F$192,"0.00")
))</f>
        <v>#5 Prince Abooboo - 97.38</v>
      </c>
      <c r="G23" s="58"/>
    </row>
    <row r="26" spans="1:11" ht="20.25" thickBot="1" x14ac:dyDescent="0.35">
      <c r="B26" s="100" t="s">
        <v>74</v>
      </c>
      <c r="C26" s="100"/>
      <c r="D26" s="100"/>
      <c r="E26" s="100"/>
      <c r="F26" s="100"/>
      <c r="G26" s="100"/>
      <c r="H26" s="100"/>
    </row>
    <row r="27" spans="1:11" ht="15.75" thickTop="1" x14ac:dyDescent="0.25"/>
    <row r="28" spans="1:11" x14ac:dyDescent="0.25">
      <c r="B28" s="4" t="s">
        <v>68</v>
      </c>
      <c r="D28" s="4" t="s">
        <v>69</v>
      </c>
      <c r="F28" s="4" t="s">
        <v>70</v>
      </c>
      <c r="J28" s="75" t="s">
        <v>82</v>
      </c>
      <c r="K28" t="str">
        <f>IF(F42="","",
IF(C41="W",Calculations!C184,Calculations!G184))</f>
        <v>Ian</v>
      </c>
    </row>
    <row r="29" spans="1:11" x14ac:dyDescent="0.25">
      <c r="J29" s="75" t="s">
        <v>83</v>
      </c>
      <c r="K29" t="str">
        <f>IF(F42="","",
IF(C41="L",Calculations!C184,Calculations!G184))</f>
        <v>Jared</v>
      </c>
    </row>
    <row r="30" spans="1:11" x14ac:dyDescent="0.25">
      <c r="C30" s="66" t="str">
        <f>IF(C32="","",
IF(C32="W","L","W"))</f>
        <v>L</v>
      </c>
      <c r="D30" s="47" t="str">
        <f>IF($B$31="","",
IF($A$31="","",
IF(Calculations!$F$181="",IF($A$33="W",B43,B42),
IF($A$33="W",B43&amp;" - "&amp;TEXT(Calculations!$F$181,"0.00"),B42&amp;" - "&amp;TEXT(Calculations!$F$181,"0.00"))
)))</f>
        <v>#1 Wrong Lever! - 137.24</v>
      </c>
      <c r="J30" s="75" t="s">
        <v>84</v>
      </c>
      <c r="K30" t="str">
        <f>IF(H47="","",
IF(E46="W",Calculations!C194,Calculations!G194))</f>
        <v>Steve</v>
      </c>
    </row>
    <row r="31" spans="1:11" x14ac:dyDescent="0.25">
      <c r="A31" s="66" t="str">
        <f>Calculations!$I$173</f>
        <v>W</v>
      </c>
      <c r="B31" s="47" t="str">
        <f>IF(Calculations!$B$171="","",
IF(Calculations!$D$173="","#3 "&amp;VLOOKUP(10,Calculations!$N$3:$Q$14,4,FALSE),
"#3 "&amp;VLOOKUP(10,Calculations!$N$3:$Q$14,4,FALSE)&amp;" - "&amp;TEXT(Calculations!$D$173,"0.00")
))</f>
        <v>#3 Aladdin Jazerra - 104.89</v>
      </c>
      <c r="D31" s="48"/>
      <c r="E31" s="67" t="str">
        <f>Calculations!$I$193</f>
        <v>L</v>
      </c>
      <c r="F31" s="47" t="str">
        <f>IF($B$31="","",
IF($C$30="","",
IF(C30="L",IF(Calculations!$D$193="",
IF($A$33="L",B42,B43),IF($A$33="L",B42,B43)&amp;" - "&amp;TEXT(Calculations!$D$193,"0.00")),
IF(Calculations!$D$193="",IF($A$31="L","#3 "&amp;VLOOKUP(10,Calculations!$N$3:$Q$14,4,FALSE),"#6 "&amp;VLOOKUP(7,Calculations!$N$3:$Q$14,4,FALSE)),
IF($A$31="L","#3 "&amp;VLOOKUP(10,Calculations!$N$3:$Q$14,4,FALSE),"#6 "&amp;VLOOKUP(7,Calculations!$N$3:$Q$14,4,FALSE))&amp;" - "&amp;TEXT(Calculations!$D$193,"0.00"))
)))</f>
        <v>#1 Wrong Lever! - 74.37</v>
      </c>
      <c r="J31" s="75" t="s">
        <v>85</v>
      </c>
      <c r="K31" t="str">
        <f>IF(H47="","",
IF(E46="L",Calculations!C194,Calculations!G194))</f>
        <v>Justin</v>
      </c>
    </row>
    <row r="32" spans="1:11" x14ac:dyDescent="0.25">
      <c r="B32" s="48"/>
      <c r="C32" s="67" t="str">
        <f>Calculations!$I$181</f>
        <v>W</v>
      </c>
      <c r="D32" s="49" t="str">
        <f>IF($B$31="","",
IF($A$31="","",
IF(Calculations!$D$181="",IF($A$31="W","#6 "&amp;VLOOKUP(7,Calculations!$N$3:$Q$14,4,FALSE),"#3 "&amp;VLOOKUP(10,Calculations!$N$3:$Q$14,4,FALSE)),
IF($A$31="L","#3 "&amp;VLOOKUP(10,Calculations!$N$3:$Q$14,4,FALSE)&amp;" - "&amp;TEXT(Calculations!$D$181,"0.00"),"#6 "&amp;VLOOKUP(7,Calculations!$N$3:$Q$14,4,FALSE)&amp;" - "&amp;TEXT(Calculations!$D$181,"0.00"))
)))</f>
        <v>#6 5 Dozen Eggs by Gaston - 148.00</v>
      </c>
      <c r="F32" s="48"/>
      <c r="J32" s="75" t="s">
        <v>86</v>
      </c>
      <c r="K32" t="str">
        <f>IF(H34="","",
IF(E31="W",Calculations!C193,Calculations!G193))</f>
        <v>Rico</v>
      </c>
    </row>
    <row r="33" spans="1:11" x14ac:dyDescent="0.25">
      <c r="A33" s="66" t="str">
        <f>IF($A$31="","",
IF($A$31="W","L","W")
)</f>
        <v>L</v>
      </c>
      <c r="B33" s="49" t="str">
        <f>IF(Calculations!$B$171="","",
IF(Calculations!$F$173="","#6 "&amp;VLOOKUP(7,Calculations!$N$3:$Q$14,4,FALSE),
"#6 "&amp;VLOOKUP(7,Calculations!$N$3:$Q$14,4,FALSE)&amp;" - "&amp;TEXT(Calculations!$F$173,"0.00")
))</f>
        <v>#6 5 Dozen Eggs by Gaston - 74.60</v>
      </c>
      <c r="F33" s="50"/>
      <c r="J33" s="75" t="s">
        <v>87</v>
      </c>
      <c r="K33" t="str">
        <f>IF(H34="","",
IF(E31="L",Calculations!C193,Calculations!G193))</f>
        <v>Tom</v>
      </c>
    </row>
    <row r="34" spans="1:11" x14ac:dyDescent="0.25">
      <c r="F34" s="50"/>
      <c r="G34" s="51"/>
      <c r="H34" s="104" t="str">
        <f>IF($B$31="","",
IF($E$31="","",
IF($E$31="L",IF($C$30="L",IF($A$33="L",B42,B43),
IF($A$31="L","#3 "&amp;VLOOKUP(10,Calculations!$N$3:$Q$14,4,FALSE),"#6 "&amp;VLOOKUP(7,Calculations!$N$3:$Q$14,4,FALSE))),
IF($C$36="L",IF($A$35="L","#4 "&amp;VLOOKUP(9,Calculations!$N$3:$Q$14,4,FALSE),"#5 "&amp;VLOOKUP(8,Calculations!$N$3:$Q$14,4,FALSE)),
IF($A$33="L",B43,B42))
)))</f>
        <v>#1 Wrong Lever!</v>
      </c>
    </row>
    <row r="35" spans="1:11" x14ac:dyDescent="0.25">
      <c r="A35" s="66" t="str">
        <f>Calculations!$I$174</f>
        <v>W</v>
      </c>
      <c r="B35" s="47" t="str">
        <f>IF(Calculations!$B$171="","",
IF(Calculations!$D$174="","#4 "&amp;VLOOKUP(9,Calculations!$N$3:$Q$14,4,FALSE),
"#4 "&amp;VLOOKUP(9,Calculations!$N$3:$Q$14,4,FALSE)&amp;" - "&amp;TEXT(Calculations!$D$174,"0.00")
))</f>
        <v>#4 Tick Tock the Crocodile - 133.62</v>
      </c>
      <c r="F35" s="50"/>
    </row>
    <row r="36" spans="1:11" x14ac:dyDescent="0.25">
      <c r="B36" s="48"/>
      <c r="C36" s="67" t="str">
        <f>Calculations!$I$182</f>
        <v>L</v>
      </c>
      <c r="D36" s="47" t="str">
        <f>IF($B$35="","",
IF($A$35="","",
IF(Calculations!$D$182="",IF($A$35="W","#5 "&amp;VLOOKUP(8,Calculations!$N$3:$Q$14,4,FALSE),"#4 "&amp;VLOOKUP(9,Calculations!$N$3:$Q$14,4,FALSE)),
IF($A$35="W","#5 "&amp;VLOOKUP(8,Calculations!$N$3:$Q$14,4,FALSE)&amp;" - "&amp;TEXT(Calculations!$D$182,"0.00"),"#4 "&amp;VLOOKUP(9,Calculations!$N$3:$Q$14,4,FALSE)&amp;" - "&amp;TEXT(Calculations!$D$182,"0.00"))
)))</f>
        <v>#5 We're all mad here - 83.49</v>
      </c>
      <c r="F36" s="50"/>
    </row>
    <row r="37" spans="1:11" x14ac:dyDescent="0.25">
      <c r="A37" s="66" t="str">
        <f>IF($A$35="","",
IF($A$35="W","L","W")
)</f>
        <v>L</v>
      </c>
      <c r="B37" s="49" t="str">
        <f>IF(Calculations!$B$171="","",
IF(Calculations!$F$174="","#5 "&amp;VLOOKUP(8,Calculations!$N$3:$Q$14,4,FALSE),
"#5 "&amp;VLOOKUP(8,Calculations!$N$3:$Q$14,4,FALSE)&amp;" - "&amp;TEXT(Calculations!$F$174,"0.00")
))</f>
        <v>#5 We're all mad here - 59.16</v>
      </c>
      <c r="D37" s="48"/>
      <c r="E37" s="67" t="str">
        <f>IF(E31="","",
IF(E31="L","W","L"))</f>
        <v>W</v>
      </c>
      <c r="F37" s="49" t="str">
        <f>IF($B$31="","",
IF($C$36="","",
IF($C$36="W",IF(Calculations!$F$193="",
IF($A$33="L",B43,B42),IF($A$33="L",B43,B42)&amp;" - "&amp;TEXT(Calculations!$F$193,"0.00")),
IF(Calculations!$F$193="",IF($A$35="L","#4 "&amp;VLOOKUP(9,Calculations!$N$3:$Q$14,4,FALSE),"#5 "&amp;VLOOKUP(8,Calculations!$N$3:$Q$14,4,FALSE)),
IF($A$35="L","#4 "&amp;VLOOKUP(9,Calculations!$N$3:$Q$14,4,FALSE),"#5 "&amp;VLOOKUP(8,Calculations!$N$3:$Q$14,4,FALSE))&amp;" - "&amp;TEXT(Calculations!$F$193,"0.00"))
)))</f>
        <v>#5 We're all mad here - 78.51</v>
      </c>
    </row>
    <row r="38" spans="1:11" x14ac:dyDescent="0.25">
      <c r="C38" s="66" t="str">
        <f>IF($C$36="","",
IF($C$36="W","L","W"
))</f>
        <v>W</v>
      </c>
      <c r="D38" s="49" t="str">
        <f>IF($B$35="","",
IF($A$35="","",
IF(Calculations!$F$182="",IF($A$33="W",B42,B43),
IF($A$33="W",B42&amp;" - "&amp;TEXT(Calculations!$F$182,"0.00"),B43&amp;" - "&amp;TEXT(Calculations!$F$182,"0.00")
))))</f>
        <v>#2 The Goob Troop - 108.48</v>
      </c>
    </row>
    <row r="39" spans="1:11" x14ac:dyDescent="0.25">
      <c r="D39" s="36"/>
    </row>
    <row r="41" spans="1:11" x14ac:dyDescent="0.25">
      <c r="B41" s="4" t="s">
        <v>71</v>
      </c>
      <c r="C41" s="66" t="str">
        <f>Calculations!I184</f>
        <v>W</v>
      </c>
      <c r="D41" s="47" t="str">
        <f>IF($A$31="","",
IF('Raw Data'!$T$28="",IF($A$31="L","#6 "&amp;VLOOKUP(7,Calculations!$N$3:$Q$14,4,FALSE),"#3 "&amp;VLOOKUP(10,Calculations!$N$3:$Q$14,4,FALSE)),
IF($A$31="L","#6 "&amp;VLOOKUP(7,Calculations!$N$3:$Q$14,4,FALSE)&amp;" - "&amp;TEXT(Calculations!$D$184,"0.00"),"#3 "&amp;VLOOKUP(10,Calculations!$N$3:$Q$14,4,FALSE)&amp;" - "&amp;TEXT(Calculations!$D$184,"0.00"))
))</f>
        <v>#3 Aladdin Jazerra - 141.11</v>
      </c>
    </row>
    <row r="42" spans="1:11" x14ac:dyDescent="0.25">
      <c r="B42" s="2" t="str">
        <f>IF(Calculations!$B$171="","",
"#1 "&amp;(_xlfn.XLOOKUP(12,Standings!$D$3:$D$16,Standings!$E$3:$E$16,0,0,1)))</f>
        <v>#1 Wrong Lever!</v>
      </c>
      <c r="D42" s="48"/>
      <c r="E42" s="67"/>
      <c r="F42" s="47" t="str">
        <f>IF($B$31="","",
IF($C$41="","",
IF($C$41="L",IF($A$31="L","#6 "&amp;VLOOKUP(7,Calculations!$N$3:$Q$14,4,FALSE),"#3 "&amp;VLOOKUP(10,Calculations!$N$3:$Q$14,4,FALSE)),
IF($A$35="L","#5 "&amp;VLOOKUP(8,Calculations!$N$3:$Q$14,4,FALSE),"#4 "&amp;VLOOKUP(9,Calculations!$N$3:$Q$14,4,FALSE))
)))</f>
        <v>#4 Tick Tock the Crocodile</v>
      </c>
    </row>
    <row r="43" spans="1:11" x14ac:dyDescent="0.25">
      <c r="B43" s="2" t="str">
        <f>IF(Calculations!$B$171="","",
"#2 "&amp;(_xlfn.XLOOKUP(11,Standings!$D$3:$D$16,Standings!$E$3:$E$16,0,0,1)))</f>
        <v>#2 The Goob Troop</v>
      </c>
      <c r="C43" s="66" t="str">
        <f>IF(C41="","",
IF(C41="W","L","W"))</f>
        <v>L</v>
      </c>
      <c r="D43" s="49" t="str">
        <f>IF(A31="","",
IF('Raw Data'!$T$28="",IF($A$35="L","#5 "&amp;VLOOKUP(8,Calculations!$N$3:$Q$14,4,FALSE),"#4 "&amp;VLOOKUP(9,Calculations!$N$3:$Q$14,4,FALSE)),
IF($A$35="L","#5 "&amp;VLOOKUP(8,Calculations!$N$3:$Q$14,4,FALSE)&amp;" - "&amp;TEXT(Calculations!$F$184,"0.00"),"#4 "&amp;VLOOKUP(9,Calculations!$N$3:$Q$14,4,FALSE)&amp;" - "&amp;TEXT(Calculations!$F$184,"0.00"))
))</f>
        <v>#4 Tick Tock the Crocodile - 79.51</v>
      </c>
    </row>
    <row r="46" spans="1:11" x14ac:dyDescent="0.25">
      <c r="E46" s="66" t="str">
        <f>Calculations!$I$194</f>
        <v>W</v>
      </c>
      <c r="F46" s="47" t="str">
        <f>IF($F$31="","",
IF(Calculations!$D$194="",IF($C$30="L",IF($A$31="L","#3 "&amp;VLOOKUP(10,Calculations!$N$3:$Q$14,4,FALSE),"#6 "&amp;VLOOKUP(7,Calculations!$N$3:$Q$14,4,FALSE)),IF($A$33="L",B42,B43)),
IF($C$30="L",IF($A$31="L","#3 "&amp;VLOOKUP(10,Calculations!$N$3:$Q$14,4,FALSE),"#6 "&amp;VLOOKUP(7,Calculations!$N$3:$Q$14,4,FALSE)),IF($A$33="L",B42,B43))&amp;" - "&amp;TEXT(Calculations!$D$194,"0.00")
))</f>
        <v>#6 5 Dozen Eggs by Gaston - 159.74</v>
      </c>
      <c r="G46" s="58"/>
    </row>
    <row r="47" spans="1:11" x14ac:dyDescent="0.25">
      <c r="F47" s="48"/>
      <c r="G47" s="59"/>
      <c r="H47" s="47" t="str">
        <f>IF($H$34="","",
IF($E$46="L",IF($C$30="L",IF($A$31="L","#3 "&amp;VLOOKUP(10,Calculations!$N$3:$Q$14,4,FALSE),"#6 "&amp;VLOOKUP(7,Calculations!$N$3:$Q$14,4,FALSE)),IF($A$33="L",B42,B43)),
IF(C36="L",IF($A$33="L",B43,B42),IF($A$35="L","#4 "&amp;VLOOKUP(9,Calculations!$N$3:$Q$14,4,FALSE),"#5 "&amp;VLOOKUP(8,Calculations!$N$3:$Q$14,4,FALSE))))
)</f>
        <v>#2 The Goob Troop</v>
      </c>
    </row>
    <row r="48" spans="1:11" x14ac:dyDescent="0.25">
      <c r="E48" s="66" t="str">
        <f>IF(E46="","",
IF($E$46="W","L","W"))</f>
        <v>L</v>
      </c>
      <c r="F48" s="49" t="str">
        <f>IF($F$31="","",
IF(Calculations!$F$194="",IF(C36="L",IF($A$33="L",B43,B42),IF($A$35="L","#4 "&amp;VLOOKUP(9,Calculations!$N$3:$Q$14,4,FALSE),"#5 "&amp;VLOOKUP(8,Calculations!$N$3:$Q$14,4,FALSE))),
IF(C36="L",IF($A$33="L",B43,B42),IF($A$35="L","#4 "&amp;VLOOKUP(9,Calculations!$N$3:$Q$14,4,FALSE),"#5 "&amp;VLOOKUP(8,Calculations!$N$3:$Q$14,4,FALSE)))&amp;" - "&amp;TEXT(Calculations!$F$194,"0.00")
))</f>
        <v>#2 The Goob Troop - 106.85</v>
      </c>
      <c r="G48" s="58"/>
    </row>
  </sheetData>
  <mergeCells count="2">
    <mergeCell ref="B1:H1"/>
    <mergeCell ref="B26:H26"/>
  </mergeCells>
  <conditionalFormatting sqref="B6">
    <cfRule type="expression" dxfId="87" priority="56">
      <formula>$A6="L"</formula>
    </cfRule>
    <cfRule type="expression" dxfId="86" priority="55" stopIfTrue="1">
      <formula>$A6="W"</formula>
    </cfRule>
  </conditionalFormatting>
  <conditionalFormatting sqref="B8">
    <cfRule type="expression" dxfId="85" priority="53" stopIfTrue="1">
      <formula>$A8="W"</formula>
    </cfRule>
    <cfRule type="expression" dxfId="84" priority="54">
      <formula>$A8="L"</formula>
    </cfRule>
  </conditionalFormatting>
  <conditionalFormatting sqref="B10">
    <cfRule type="expression" dxfId="83" priority="51" stopIfTrue="1">
      <formula>$A10="W"</formula>
    </cfRule>
    <cfRule type="expression" dxfId="82" priority="52">
      <formula>$A10="L"</formula>
    </cfRule>
  </conditionalFormatting>
  <conditionalFormatting sqref="B12">
    <cfRule type="expression" dxfId="81" priority="49" stopIfTrue="1">
      <formula>$A12="W"</formula>
    </cfRule>
    <cfRule type="expression" dxfId="80" priority="50">
      <formula>$A12="L"</formula>
    </cfRule>
  </conditionalFormatting>
  <conditionalFormatting sqref="B31">
    <cfRule type="expression" dxfId="79" priority="28">
      <formula>$A31="W"</formula>
    </cfRule>
    <cfRule type="expression" dxfId="78" priority="27" stopIfTrue="1">
      <formula>$A31="L"</formula>
    </cfRule>
  </conditionalFormatting>
  <conditionalFormatting sqref="B33">
    <cfRule type="expression" dxfId="77" priority="26">
      <formula>$A33="W"</formula>
    </cfRule>
    <cfRule type="expression" dxfId="76" priority="25" stopIfTrue="1">
      <formula>$A33="L"</formula>
    </cfRule>
  </conditionalFormatting>
  <conditionalFormatting sqref="B35">
    <cfRule type="expression" dxfId="75" priority="24">
      <formula>$A35="W"</formula>
    </cfRule>
    <cfRule type="expression" dxfId="74" priority="23" stopIfTrue="1">
      <formula>$A35="L"</formula>
    </cfRule>
  </conditionalFormatting>
  <conditionalFormatting sqref="B37">
    <cfRule type="expression" dxfId="73" priority="21" stopIfTrue="1">
      <formula>$A37="L"</formula>
    </cfRule>
    <cfRule type="expression" dxfId="72" priority="22">
      <formula>$A37="W"</formula>
    </cfRule>
  </conditionalFormatting>
  <conditionalFormatting sqref="D5">
    <cfRule type="expression" dxfId="71" priority="47">
      <formula>$C5="W"</formula>
    </cfRule>
    <cfRule type="expression" dxfId="70" priority="48">
      <formula>$C5="L"</formula>
    </cfRule>
  </conditionalFormatting>
  <conditionalFormatting sqref="D7">
    <cfRule type="expression" dxfId="69" priority="46">
      <formula>$C7="L"</formula>
    </cfRule>
    <cfRule type="expression" dxfId="68" priority="45">
      <formula>$C7="W"</formula>
    </cfRule>
  </conditionalFormatting>
  <conditionalFormatting sqref="D11">
    <cfRule type="expression" dxfId="67" priority="40">
      <formula>C11="L"</formula>
    </cfRule>
    <cfRule type="expression" dxfId="66" priority="39" stopIfTrue="1">
      <formula>C11="W"</formula>
    </cfRule>
  </conditionalFormatting>
  <conditionalFormatting sqref="D13">
    <cfRule type="expression" dxfId="65" priority="38">
      <formula>C13="L"</formula>
    </cfRule>
    <cfRule type="expression" dxfId="64" priority="37" stopIfTrue="1">
      <formula>C13="W"</formula>
    </cfRule>
  </conditionalFormatting>
  <conditionalFormatting sqref="D16">
    <cfRule type="expression" dxfId="63" priority="43" stopIfTrue="1">
      <formula>$C16="W"</formula>
    </cfRule>
    <cfRule type="expression" dxfId="62" priority="44">
      <formula>$C16="L"</formula>
    </cfRule>
  </conditionalFormatting>
  <conditionalFormatting sqref="D18">
    <cfRule type="expression" dxfId="61" priority="42">
      <formula>C18="L"</formula>
    </cfRule>
    <cfRule type="expression" dxfId="60" priority="41" stopIfTrue="1">
      <formula>C18="W"</formula>
    </cfRule>
  </conditionalFormatting>
  <conditionalFormatting sqref="D30">
    <cfRule type="expression" dxfId="59" priority="20">
      <formula>$C30="W"</formula>
    </cfRule>
    <cfRule type="expression" dxfId="58" priority="19" stopIfTrue="1">
      <formula>$C30="L"</formula>
    </cfRule>
  </conditionalFormatting>
  <conditionalFormatting sqref="D32">
    <cfRule type="expression" dxfId="57" priority="18">
      <formula>$C32="W"</formula>
    </cfRule>
    <cfRule type="expression" dxfId="56" priority="17" stopIfTrue="1">
      <formula>$C32="L"</formula>
    </cfRule>
  </conditionalFormatting>
  <conditionalFormatting sqref="D36">
    <cfRule type="expression" dxfId="55" priority="12">
      <formula>C36="W"</formula>
    </cfRule>
    <cfRule type="expression" dxfId="54" priority="11" stopIfTrue="1">
      <formula>C36="L"</formula>
    </cfRule>
  </conditionalFormatting>
  <conditionalFormatting sqref="D38">
    <cfRule type="expression" dxfId="53" priority="10">
      <formula>C38="W"</formula>
    </cfRule>
    <cfRule type="expression" dxfId="52" priority="9" stopIfTrue="1">
      <formula>C38="L"</formula>
    </cfRule>
  </conditionalFormatting>
  <conditionalFormatting sqref="D41">
    <cfRule type="expression" dxfId="51" priority="16">
      <formula>$C41="W"</formula>
    </cfRule>
    <cfRule type="expression" dxfId="50" priority="15" stopIfTrue="1">
      <formula>$C41="L"</formula>
    </cfRule>
  </conditionalFormatting>
  <conditionalFormatting sqref="D43">
    <cfRule type="expression" dxfId="49" priority="14">
      <formula>C43="W"</formula>
    </cfRule>
    <cfRule type="expression" dxfId="48" priority="13" stopIfTrue="1">
      <formula>C43="L"</formula>
    </cfRule>
  </conditionalFormatting>
  <conditionalFormatting sqref="F6">
    <cfRule type="expression" dxfId="47" priority="36">
      <formula>E6="L"</formula>
    </cfRule>
    <cfRule type="expression" dxfId="46" priority="35" stopIfTrue="1">
      <formula>E6="W"</formula>
    </cfRule>
  </conditionalFormatting>
  <conditionalFormatting sqref="F12">
    <cfRule type="expression" dxfId="45" priority="33" stopIfTrue="1">
      <formula>E12="W"</formula>
    </cfRule>
    <cfRule type="expression" dxfId="44" priority="34">
      <formula>E12="L"</formula>
    </cfRule>
  </conditionalFormatting>
  <conditionalFormatting sqref="F21">
    <cfRule type="expression" dxfId="43" priority="31" stopIfTrue="1">
      <formula>$E21="W"</formula>
    </cfRule>
    <cfRule type="expression" dxfId="42" priority="32">
      <formula>$E21="L"</formula>
    </cfRule>
  </conditionalFormatting>
  <conditionalFormatting sqref="F23">
    <cfRule type="expression" dxfId="41" priority="30">
      <formula>E23="L"</formula>
    </cfRule>
    <cfRule type="expression" dxfId="40" priority="29" stopIfTrue="1">
      <formula>E23="W"</formula>
    </cfRule>
  </conditionalFormatting>
  <conditionalFormatting sqref="F31">
    <cfRule type="expression" dxfId="39" priority="8">
      <formula>E31="W"</formula>
    </cfRule>
    <cfRule type="expression" dxfId="38" priority="7" stopIfTrue="1">
      <formula>E31="L"</formula>
    </cfRule>
  </conditionalFormatting>
  <conditionalFormatting sqref="F37">
    <cfRule type="expression" dxfId="37" priority="6">
      <formula>E37="W"</formula>
    </cfRule>
    <cfRule type="expression" dxfId="36" priority="5" stopIfTrue="1">
      <formula>E37="L"</formula>
    </cfRule>
  </conditionalFormatting>
  <conditionalFormatting sqref="F46">
    <cfRule type="expression" dxfId="35" priority="4">
      <formula>$E46="W"</formula>
    </cfRule>
    <cfRule type="expression" dxfId="34" priority="3" stopIfTrue="1">
      <formula>$E46="L"</formula>
    </cfRule>
  </conditionalFormatting>
  <conditionalFormatting sqref="F48">
    <cfRule type="expression" dxfId="33" priority="2">
      <formula>E48="W"</formula>
    </cfRule>
    <cfRule type="expression" dxfId="32" priority="1" stopIfTrue="1">
      <formula>E48="L"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35B6F-FD86-406E-B4B5-0A0F7ABEE8A2}">
  <sheetPr>
    <tabColor rgb="FF00B050"/>
  </sheetPr>
  <dimension ref="A1:S32"/>
  <sheetViews>
    <sheetView showGridLines="0" workbookViewId="0">
      <selection activeCell="W23" sqref="W23"/>
    </sheetView>
  </sheetViews>
  <sheetFormatPr defaultRowHeight="15" x14ac:dyDescent="0.25"/>
  <cols>
    <col min="1" max="1" width="32.28515625" bestFit="1" customWidth="1"/>
    <col min="16" max="16" width="8.85546875" style="2"/>
    <col min="17" max="17" width="8.85546875" style="33"/>
  </cols>
  <sheetData>
    <row r="1" spans="1:19" ht="19.5" x14ac:dyDescent="0.3">
      <c r="B1" s="101" t="s">
        <v>32</v>
      </c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</row>
    <row r="2" spans="1:19" x14ac:dyDescent="0.25">
      <c r="A2" s="1"/>
      <c r="B2" s="4">
        <v>1</v>
      </c>
      <c r="C2" s="4">
        <v>2</v>
      </c>
      <c r="D2" s="4">
        <v>3</v>
      </c>
      <c r="E2" s="4">
        <v>4</v>
      </c>
      <c r="F2" s="4">
        <v>5</v>
      </c>
      <c r="G2" s="4">
        <v>6</v>
      </c>
      <c r="H2" s="4">
        <v>7</v>
      </c>
      <c r="I2" s="4">
        <v>8</v>
      </c>
      <c r="J2" s="4">
        <v>9</v>
      </c>
      <c r="K2" s="4">
        <v>10</v>
      </c>
      <c r="L2" s="4">
        <v>11</v>
      </c>
      <c r="M2" s="4">
        <v>12</v>
      </c>
      <c r="N2" s="4">
        <v>13</v>
      </c>
      <c r="O2" s="4">
        <v>14</v>
      </c>
      <c r="P2" s="34" t="s">
        <v>34</v>
      </c>
      <c r="Q2" s="35" t="s">
        <v>35</v>
      </c>
      <c r="R2" s="35" t="s">
        <v>36</v>
      </c>
      <c r="S2" s="35" t="s">
        <v>73</v>
      </c>
    </row>
    <row r="3" spans="1:19" x14ac:dyDescent="0.25">
      <c r="A3" s="1" t="str">
        <f>IF('Raw Data'!P3="","",'Raw Data'!P3)</f>
        <v>Jafar</v>
      </c>
      <c r="B3" s="52" cm="1">
        <f t="array" ref="B3">IFERROR(_xlfn.XLOOKUP(1,(Calculations!$B$3:$B$170=$A3)*(Calculations!$A$3:$A$170=B$2),Calculations!$D$3:$D$170),"")</f>
        <v>113.23</v>
      </c>
      <c r="C3" s="52" cm="1">
        <f t="array" ref="C3">IFERROR(_xlfn.XLOOKUP(1,(Calculations!$B$3:$B$170=$A3)*(Calculations!$A$3:$A$170=C$2),Calculations!$D$3:$D$170),"")</f>
        <v>169.96</v>
      </c>
      <c r="D3" s="52" cm="1">
        <f t="array" ref="D3">IFERROR(_xlfn.XLOOKUP(1,(Calculations!$B$3:$B$170=$A3)*(Calculations!$A$3:$A$170=D$2),Calculations!$D$3:$D$170),"")</f>
        <v>117.61</v>
      </c>
      <c r="E3" s="52" cm="1">
        <f t="array" ref="E3">IFERROR(_xlfn.XLOOKUP(1,(Calculations!$B$3:$B$170=$A3)*(Calculations!$A$3:$A$170=E$2),Calculations!$D$3:$D$170),"")</f>
        <v>154.99</v>
      </c>
      <c r="F3" s="52" cm="1">
        <f t="array" ref="F3">IFERROR(_xlfn.XLOOKUP(1,(Calculations!$B$3:$B$170=$A3)*(Calculations!$A$3:$A$170=F$2),Calculations!$D$3:$D$170),"")</f>
        <v>146.94999999999999</v>
      </c>
      <c r="G3" s="52" cm="1">
        <f t="array" ref="G3">IFERROR(_xlfn.XLOOKUP(1,(Calculations!$B$3:$B$170=$A3)*(Calculations!$A$3:$A$170=G$2),Calculations!$D$3:$D$170),"")</f>
        <v>130.22</v>
      </c>
      <c r="H3" s="52" cm="1">
        <f t="array" ref="H3">IFERROR(_xlfn.XLOOKUP(1,(Calculations!$B$3:$B$170=$A3)*(Calculations!$A$3:$A$170=H$2),Calculations!$D$3:$D$170),"")</f>
        <v>156.84</v>
      </c>
      <c r="I3" s="52" cm="1">
        <f t="array" ref="I3">IFERROR(_xlfn.XLOOKUP(1,(Calculations!$B$3:$B$170=$A3)*(Calculations!$A$3:$A$170=I$2),Calculations!$D$3:$D$170),"")</f>
        <v>105.92</v>
      </c>
      <c r="J3" s="52" cm="1">
        <f t="array" ref="J3">IFERROR(_xlfn.XLOOKUP(1,(Calculations!$B$3:$B$170=$A3)*(Calculations!$A$3:$A$170=J$2),Calculations!$D$3:$D$170),"")</f>
        <v>122.26</v>
      </c>
      <c r="K3" s="52" cm="1">
        <f t="array" ref="K3">IFERROR(_xlfn.XLOOKUP(1,(Calculations!$B$3:$B$170=$A3)*(Calculations!$A$3:$A$170=K$2),Calculations!$D$3:$D$170),"")</f>
        <v>125.63</v>
      </c>
      <c r="L3" s="52" cm="1">
        <f t="array" ref="L3">IFERROR(_xlfn.XLOOKUP(1,(Calculations!$B$3:$B$170=$A3)*(Calculations!$A$3:$A$170=L$2),Calculations!$D$3:$D$170),"")</f>
        <v>120.87</v>
      </c>
      <c r="M3" s="52" cm="1">
        <f t="array" ref="M3">IFERROR(_xlfn.XLOOKUP(1,(Calculations!$B$3:$B$170=$A3)*(Calculations!$A$3:$A$170=M$2),Calculations!$D$3:$D$170),"")</f>
        <v>136.56</v>
      </c>
      <c r="N3" s="52" cm="1">
        <f t="array" ref="N3">IFERROR(_xlfn.XLOOKUP(1,(Calculations!$B$3:$B$170=$A3)*(Calculations!$A$3:$A$170=N$2),Calculations!$D$3:$D$170),"")</f>
        <v>116.24</v>
      </c>
      <c r="O3" s="54" cm="1">
        <f t="array" ref="O3">IFERROR(_xlfn.XLOOKUP(1,(Calculations!$B$3:$B$170=$A3)*(Calculations!$A$3:$A$170=O$2),Calculations!$D$3:$D$170),"")</f>
        <v>123.09</v>
      </c>
      <c r="P3" s="55">
        <f>IF(B3="","",SUM(B3:O3))</f>
        <v>1840.37</v>
      </c>
      <c r="Q3" s="52">
        <f>IF(B3="","",AVERAGE(B3:O3))</f>
        <v>131.45499999999998</v>
      </c>
      <c r="R3" s="53">
        <f>IF(B3="","",P3-P18)</f>
        <v>67.249999999999773</v>
      </c>
      <c r="S3" s="52">
        <f>IF(B3="","",MAX(B3:O3))</f>
        <v>169.96</v>
      </c>
    </row>
    <row r="4" spans="1:19" x14ac:dyDescent="0.25">
      <c r="A4" s="1" t="str">
        <f>IF('Raw Data'!P4="","",'Raw Data'!P4)</f>
        <v>The Goob Troop</v>
      </c>
      <c r="B4" s="52" cm="1">
        <f t="array" ref="B4">IFERROR(_xlfn.XLOOKUP(1,(Calculations!$B$3:$B$170=$A4)*(Calculations!$A$3:$A$170=B$2),Calculations!$D$3:$D$170),"")</f>
        <v>82.97</v>
      </c>
      <c r="C4" s="52" cm="1">
        <f t="array" ref="C4">IFERROR(_xlfn.XLOOKUP(1,(Calculations!$B$3:$B$170=$A4)*(Calculations!$A$3:$A$170=C$2),Calculations!$D$3:$D$170),"")</f>
        <v>119.32</v>
      </c>
      <c r="D4" s="52" cm="1">
        <f t="array" ref="D4">IFERROR(_xlfn.XLOOKUP(1,(Calculations!$B$3:$B$170=$A4)*(Calculations!$A$3:$A$170=D$2),Calculations!$D$3:$D$170),"")</f>
        <v>97.42</v>
      </c>
      <c r="E4" s="52" cm="1">
        <f t="array" ref="E4">IFERROR(_xlfn.XLOOKUP(1,(Calculations!$B$3:$B$170=$A4)*(Calculations!$A$3:$A$170=E$2),Calculations!$D$3:$D$170),"")</f>
        <v>102.05</v>
      </c>
      <c r="F4" s="52" cm="1">
        <f t="array" ref="F4">IFERROR(_xlfn.XLOOKUP(1,(Calculations!$B$3:$B$170=$A4)*(Calculations!$A$3:$A$170=F$2),Calculations!$D$3:$D$170),"")</f>
        <v>126.21</v>
      </c>
      <c r="G4" s="52" cm="1">
        <f t="array" ref="G4">IFERROR(_xlfn.XLOOKUP(1,(Calculations!$B$3:$B$170=$A4)*(Calculations!$A$3:$A$170=G$2),Calculations!$D$3:$D$170),"")</f>
        <v>109.06</v>
      </c>
      <c r="H4" s="52" cm="1">
        <f t="array" ref="H4">IFERROR(_xlfn.XLOOKUP(1,(Calculations!$B$3:$B$170=$A4)*(Calculations!$A$3:$A$170=H$2),Calculations!$D$3:$D$170),"")</f>
        <v>153.44999999999999</v>
      </c>
      <c r="I4" s="52" cm="1">
        <f t="array" ref="I4">IFERROR(_xlfn.XLOOKUP(1,(Calculations!$B$3:$B$170=$A4)*(Calculations!$A$3:$A$170=I$2),Calculations!$D$3:$D$170),"")</f>
        <v>114.98</v>
      </c>
      <c r="J4" s="52" cm="1">
        <f t="array" ref="J4">IFERROR(_xlfn.XLOOKUP(1,(Calculations!$B$3:$B$170=$A4)*(Calculations!$A$3:$A$170=J$2),Calculations!$D$3:$D$170),"")</f>
        <v>140.51</v>
      </c>
      <c r="K4" s="52" cm="1">
        <f t="array" ref="K4">IFERROR(_xlfn.XLOOKUP(1,(Calculations!$B$3:$B$170=$A4)*(Calculations!$A$3:$A$170=K$2),Calculations!$D$3:$D$170),"")</f>
        <v>124.8</v>
      </c>
      <c r="L4" s="52" cm="1">
        <f t="array" ref="L4">IFERROR(_xlfn.XLOOKUP(1,(Calculations!$B$3:$B$170=$A4)*(Calculations!$A$3:$A$170=L$2),Calculations!$D$3:$D$170),"")</f>
        <v>109.27</v>
      </c>
      <c r="M4" s="52" cm="1">
        <f t="array" ref="M4">IFERROR(_xlfn.XLOOKUP(1,(Calculations!$B$3:$B$170=$A4)*(Calculations!$A$3:$A$170=M$2),Calculations!$D$3:$D$170),"")</f>
        <v>121.84</v>
      </c>
      <c r="N4" s="52" cm="1">
        <f t="array" ref="N4">IFERROR(_xlfn.XLOOKUP(1,(Calculations!$B$3:$B$170=$A4)*(Calculations!$A$3:$A$170=N$2),Calculations!$D$3:$D$170),"")</f>
        <v>137.91</v>
      </c>
      <c r="O4" s="54" cm="1">
        <f t="array" ref="O4">IFERROR(_xlfn.XLOOKUP(1,(Calculations!$B$3:$B$170=$A4)*(Calculations!$A$3:$A$170=O$2),Calculations!$D$3:$D$170),"")</f>
        <v>90.13</v>
      </c>
      <c r="P4" s="55">
        <f t="shared" ref="P4:P14" si="0">IF(B4="","",SUM(B4:O4))</f>
        <v>1629.92</v>
      </c>
      <c r="Q4" s="52">
        <f t="shared" ref="Q4:Q29" si="1">IF(B4="","",AVERAGE(B4:O4))</f>
        <v>116.42285714285715</v>
      </c>
      <c r="R4" s="53">
        <f t="shared" ref="R4:R14" si="2">IF(B4="","",P4-P19)</f>
        <v>3.7600000000002183</v>
      </c>
      <c r="S4" s="52">
        <f t="shared" ref="S4:S14" si="3">IF(B4="","",MAX(B4:O4))</f>
        <v>153.44999999999999</v>
      </c>
    </row>
    <row r="5" spans="1:19" x14ac:dyDescent="0.25">
      <c r="A5" s="1" t="str">
        <f>IF('Raw Data'!P5="","",'Raw Data'!P5)</f>
        <v>Herbie's Honkers</v>
      </c>
      <c r="B5" s="52" cm="1">
        <f t="array" ref="B5">IFERROR(_xlfn.XLOOKUP(1,(Calculations!$B$3:$B$170=$A5)*(Calculations!$A$3:$A$170=B$2),Calculations!$D$3:$D$170),"")</f>
        <v>144.62</v>
      </c>
      <c r="C5" s="52" cm="1">
        <f t="array" ref="C5">IFERROR(_xlfn.XLOOKUP(1,(Calculations!$B$3:$B$170=$A5)*(Calculations!$A$3:$A$170=C$2),Calculations!$D$3:$D$170),"")</f>
        <v>114.81</v>
      </c>
      <c r="D5" s="52" cm="1">
        <f t="array" ref="D5">IFERROR(_xlfn.XLOOKUP(1,(Calculations!$B$3:$B$170=$A5)*(Calculations!$A$3:$A$170=D$2),Calculations!$D$3:$D$170),"")</f>
        <v>151.75</v>
      </c>
      <c r="E5" s="52" cm="1">
        <f t="array" ref="E5">IFERROR(_xlfn.XLOOKUP(1,(Calculations!$B$3:$B$170=$A5)*(Calculations!$A$3:$A$170=E$2),Calculations!$D$3:$D$170),"")</f>
        <v>150.51</v>
      </c>
      <c r="F5" s="52" cm="1">
        <f t="array" ref="F5">IFERROR(_xlfn.XLOOKUP(1,(Calculations!$B$3:$B$170=$A5)*(Calculations!$A$3:$A$170=F$2),Calculations!$D$3:$D$170),"")</f>
        <v>160.69</v>
      </c>
      <c r="G5" s="52" cm="1">
        <f t="array" ref="G5">IFERROR(_xlfn.XLOOKUP(1,(Calculations!$B$3:$B$170=$A5)*(Calculations!$A$3:$A$170=G$2),Calculations!$D$3:$D$170),"")</f>
        <v>126.31</v>
      </c>
      <c r="H5" s="52" cm="1">
        <f t="array" ref="H5">IFERROR(_xlfn.XLOOKUP(1,(Calculations!$B$3:$B$170=$A5)*(Calculations!$A$3:$A$170=H$2),Calculations!$D$3:$D$170),"")</f>
        <v>159.75</v>
      </c>
      <c r="I5" s="52" cm="1">
        <f t="array" ref="I5">IFERROR(_xlfn.XLOOKUP(1,(Calculations!$B$3:$B$170=$A5)*(Calculations!$A$3:$A$170=I$2),Calculations!$D$3:$D$170),"")</f>
        <v>94.13</v>
      </c>
      <c r="J5" s="52" cm="1">
        <f t="array" ref="J5">IFERROR(_xlfn.XLOOKUP(1,(Calculations!$B$3:$B$170=$A5)*(Calculations!$A$3:$A$170=J$2),Calculations!$D$3:$D$170),"")</f>
        <v>152.22999999999999</v>
      </c>
      <c r="K5" s="52" cm="1">
        <f t="array" ref="K5">IFERROR(_xlfn.XLOOKUP(1,(Calculations!$B$3:$B$170=$A5)*(Calculations!$A$3:$A$170=K$2),Calculations!$D$3:$D$170),"")</f>
        <v>162.53</v>
      </c>
      <c r="L5" s="52" cm="1">
        <f t="array" ref="L5">IFERROR(_xlfn.XLOOKUP(1,(Calculations!$B$3:$B$170=$A5)*(Calculations!$A$3:$A$170=L$2),Calculations!$D$3:$D$170),"")</f>
        <v>130.12</v>
      </c>
      <c r="M5" s="52" cm="1">
        <f t="array" ref="M5">IFERROR(_xlfn.XLOOKUP(1,(Calculations!$B$3:$B$170=$A5)*(Calculations!$A$3:$A$170=M$2),Calculations!$D$3:$D$170),"")</f>
        <v>121.05</v>
      </c>
      <c r="N5" s="52" cm="1">
        <f t="array" ref="N5">IFERROR(_xlfn.XLOOKUP(1,(Calculations!$B$3:$B$170=$A5)*(Calculations!$A$3:$A$170=N$2),Calculations!$D$3:$D$170),"")</f>
        <v>145.93</v>
      </c>
      <c r="O5" s="54" cm="1">
        <f t="array" ref="O5">IFERROR(_xlfn.XLOOKUP(1,(Calculations!$B$3:$B$170=$A5)*(Calculations!$A$3:$A$170=O$2),Calculations!$D$3:$D$170),"")</f>
        <v>134.46</v>
      </c>
      <c r="P5" s="55">
        <f t="shared" si="0"/>
        <v>1948.8900000000003</v>
      </c>
      <c r="Q5" s="52">
        <f t="shared" si="1"/>
        <v>139.2064285714286</v>
      </c>
      <c r="R5" s="53">
        <f t="shared" si="2"/>
        <v>121.55000000000041</v>
      </c>
      <c r="S5" s="52">
        <f t="shared" si="3"/>
        <v>162.53</v>
      </c>
    </row>
    <row r="6" spans="1:19" x14ac:dyDescent="0.25">
      <c r="A6" s="1" t="str">
        <f>IF('Raw Data'!P6="","",'Raw Data'!P6)</f>
        <v>Stupid Smartass Psycho</v>
      </c>
      <c r="B6" s="52" cm="1">
        <f t="array" ref="B6">IFERROR(_xlfn.XLOOKUP(1,(Calculations!$B$3:$B$170=$A6)*(Calculations!$A$3:$A$170=B$2),Calculations!$D$3:$D$170),"")</f>
        <v>107.42</v>
      </c>
      <c r="C6" s="52" cm="1">
        <f t="array" ref="C6">IFERROR(_xlfn.XLOOKUP(1,(Calculations!$B$3:$B$170=$A6)*(Calculations!$A$3:$A$170=C$2),Calculations!$D$3:$D$170),"")</f>
        <v>138.4</v>
      </c>
      <c r="D6" s="52" cm="1">
        <f t="array" ref="D6">IFERROR(_xlfn.XLOOKUP(1,(Calculations!$B$3:$B$170=$A6)*(Calculations!$A$3:$A$170=D$2),Calculations!$D$3:$D$170),"")</f>
        <v>124.71</v>
      </c>
      <c r="E6" s="52" cm="1">
        <f t="array" ref="E6">IFERROR(_xlfn.XLOOKUP(1,(Calculations!$B$3:$B$170=$A6)*(Calculations!$A$3:$A$170=E$2),Calculations!$D$3:$D$170),"")</f>
        <v>126.87</v>
      </c>
      <c r="F6" s="52" cm="1">
        <f t="array" ref="F6">IFERROR(_xlfn.XLOOKUP(1,(Calculations!$B$3:$B$170=$A6)*(Calculations!$A$3:$A$170=F$2),Calculations!$D$3:$D$170),"")</f>
        <v>114.8</v>
      </c>
      <c r="G6" s="52" cm="1">
        <f t="array" ref="G6">IFERROR(_xlfn.XLOOKUP(1,(Calculations!$B$3:$B$170=$A6)*(Calculations!$A$3:$A$170=G$2),Calculations!$D$3:$D$170),"")</f>
        <v>131.5</v>
      </c>
      <c r="H6" s="52" cm="1">
        <f t="array" ref="H6">IFERROR(_xlfn.XLOOKUP(1,(Calculations!$B$3:$B$170=$A6)*(Calculations!$A$3:$A$170=H$2),Calculations!$D$3:$D$170),"")</f>
        <v>114.55</v>
      </c>
      <c r="I6" s="52" cm="1">
        <f t="array" ref="I6">IFERROR(_xlfn.XLOOKUP(1,(Calculations!$B$3:$B$170=$A6)*(Calculations!$A$3:$A$170=I$2),Calculations!$D$3:$D$170),"")</f>
        <v>164.22</v>
      </c>
      <c r="J6" s="52" cm="1">
        <f t="array" ref="J6">IFERROR(_xlfn.XLOOKUP(1,(Calculations!$B$3:$B$170=$A6)*(Calculations!$A$3:$A$170=J$2),Calculations!$D$3:$D$170),"")</f>
        <v>149.04</v>
      </c>
      <c r="K6" s="52" cm="1">
        <f t="array" ref="K6">IFERROR(_xlfn.XLOOKUP(1,(Calculations!$B$3:$B$170=$A6)*(Calculations!$A$3:$A$170=K$2),Calculations!$D$3:$D$170),"")</f>
        <v>135.47999999999999</v>
      </c>
      <c r="L6" s="52" cm="1">
        <f t="array" ref="L6">IFERROR(_xlfn.XLOOKUP(1,(Calculations!$B$3:$B$170=$A6)*(Calculations!$A$3:$A$170=L$2),Calculations!$D$3:$D$170),"")</f>
        <v>119.39</v>
      </c>
      <c r="M6" s="52" cm="1">
        <f t="array" ref="M6">IFERROR(_xlfn.XLOOKUP(1,(Calculations!$B$3:$B$170=$A6)*(Calculations!$A$3:$A$170=M$2),Calculations!$D$3:$D$170),"")</f>
        <v>107.76</v>
      </c>
      <c r="N6" s="52" cm="1">
        <f t="array" ref="N6">IFERROR(_xlfn.XLOOKUP(1,(Calculations!$B$3:$B$170=$A6)*(Calculations!$A$3:$A$170=N$2),Calculations!$D$3:$D$170),"")</f>
        <v>108.56</v>
      </c>
      <c r="O6" s="54" cm="1">
        <f t="array" ref="O6">IFERROR(_xlfn.XLOOKUP(1,(Calculations!$B$3:$B$170=$A6)*(Calculations!$A$3:$A$170=O$2),Calculations!$D$3:$D$170),"")</f>
        <v>57.24</v>
      </c>
      <c r="P6" s="55">
        <f t="shared" si="0"/>
        <v>1699.94</v>
      </c>
      <c r="Q6" s="52">
        <f t="shared" si="1"/>
        <v>121.42428571428572</v>
      </c>
      <c r="R6" s="53">
        <f t="shared" si="2"/>
        <v>64</v>
      </c>
      <c r="S6" s="52">
        <f t="shared" si="3"/>
        <v>164.22</v>
      </c>
    </row>
    <row r="7" spans="1:19" x14ac:dyDescent="0.25">
      <c r="A7" s="1" t="str">
        <f>IF('Raw Data'!P8="","",'Raw Data'!P8)</f>
        <v>SqueakSqueakinSqueakSqueakity</v>
      </c>
      <c r="B7" s="52" cm="1">
        <f t="array" ref="B7">IFERROR(_xlfn.XLOOKUP(1,(Calculations!$B$3:$B$170=$A7)*(Calculations!$A$3:$A$170=B$2),Calculations!$D$3:$D$170),"")</f>
        <v>124.89</v>
      </c>
      <c r="C7" s="52" cm="1">
        <f t="array" ref="C7">IFERROR(_xlfn.XLOOKUP(1,(Calculations!$B$3:$B$170=$A7)*(Calculations!$A$3:$A$170=C$2),Calculations!$D$3:$D$170),"")</f>
        <v>117.99</v>
      </c>
      <c r="D7" s="52" cm="1">
        <f t="array" ref="D7">IFERROR(_xlfn.XLOOKUP(1,(Calculations!$B$3:$B$170=$A7)*(Calculations!$A$3:$A$170=D$2),Calculations!$D$3:$D$170),"")</f>
        <v>117.22</v>
      </c>
      <c r="E7" s="52" cm="1">
        <f t="array" ref="E7">IFERROR(_xlfn.XLOOKUP(1,(Calculations!$B$3:$B$170=$A7)*(Calculations!$A$3:$A$170=E$2),Calculations!$D$3:$D$170),"")</f>
        <v>146.76</v>
      </c>
      <c r="F7" s="52" cm="1">
        <f t="array" ref="F7">IFERROR(_xlfn.XLOOKUP(1,(Calculations!$B$3:$B$170=$A7)*(Calculations!$A$3:$A$170=F$2),Calculations!$D$3:$D$170),"")</f>
        <v>137.22</v>
      </c>
      <c r="G7" s="52" cm="1">
        <f t="array" ref="G7">IFERROR(_xlfn.XLOOKUP(1,(Calculations!$B$3:$B$170=$A7)*(Calculations!$A$3:$A$170=G$2),Calculations!$D$3:$D$170),"")</f>
        <v>123</v>
      </c>
      <c r="H7" s="52" cm="1">
        <f t="array" ref="H7">IFERROR(_xlfn.XLOOKUP(1,(Calculations!$B$3:$B$170=$A7)*(Calculations!$A$3:$A$170=H$2),Calculations!$D$3:$D$170),"")</f>
        <v>111.53</v>
      </c>
      <c r="I7" s="52" cm="1">
        <f t="array" ref="I7">IFERROR(_xlfn.XLOOKUP(1,(Calculations!$B$3:$B$170=$A7)*(Calculations!$A$3:$A$170=I$2),Calculations!$D$3:$D$170),"")</f>
        <v>156.52000000000001</v>
      </c>
      <c r="J7" s="52" cm="1">
        <f t="array" ref="J7">IFERROR(_xlfn.XLOOKUP(1,(Calculations!$B$3:$B$170=$A7)*(Calculations!$A$3:$A$170=J$2),Calculations!$D$3:$D$170),"")</f>
        <v>142.94</v>
      </c>
      <c r="K7" s="52" cm="1">
        <f t="array" ref="K7">IFERROR(_xlfn.XLOOKUP(1,(Calculations!$B$3:$B$170=$A7)*(Calculations!$A$3:$A$170=K$2),Calculations!$D$3:$D$170),"")</f>
        <v>111.37</v>
      </c>
      <c r="L7" s="52" cm="1">
        <f t="array" ref="L7">IFERROR(_xlfn.XLOOKUP(1,(Calculations!$B$3:$B$170=$A7)*(Calculations!$A$3:$A$170=L$2),Calculations!$D$3:$D$170),"")</f>
        <v>142.21</v>
      </c>
      <c r="M7" s="52" cm="1">
        <f t="array" ref="M7">IFERROR(_xlfn.XLOOKUP(1,(Calculations!$B$3:$B$170=$A7)*(Calculations!$A$3:$A$170=M$2),Calculations!$D$3:$D$170),"")</f>
        <v>161.09</v>
      </c>
      <c r="N7" s="52" cm="1">
        <f t="array" ref="N7">IFERROR(_xlfn.XLOOKUP(1,(Calculations!$B$3:$B$170=$A7)*(Calculations!$A$3:$A$170=N$2),Calculations!$D$3:$D$170),"")</f>
        <v>100.22</v>
      </c>
      <c r="O7" s="54" cm="1">
        <f t="array" ref="O7">IFERROR(_xlfn.XLOOKUP(1,(Calculations!$B$3:$B$170=$A7)*(Calculations!$A$3:$A$170=O$2),Calculations!$D$3:$D$170),"")</f>
        <v>161.16999999999999</v>
      </c>
      <c r="P7" s="55">
        <f t="shared" si="0"/>
        <v>1854.13</v>
      </c>
      <c r="Q7" s="52">
        <f t="shared" si="1"/>
        <v>132.43785714285715</v>
      </c>
      <c r="R7" s="53">
        <f t="shared" si="2"/>
        <v>111.64999999999964</v>
      </c>
      <c r="S7" s="52">
        <f t="shared" si="3"/>
        <v>161.16999999999999</v>
      </c>
    </row>
    <row r="8" spans="1:19" x14ac:dyDescent="0.25">
      <c r="A8" s="1" t="str">
        <f>IF('Raw Data'!P9="","",'Raw Data'!P9)</f>
        <v>We're all mad here</v>
      </c>
      <c r="B8" s="52" cm="1">
        <f t="array" ref="B8">IFERROR(_xlfn.XLOOKUP(1,(Calculations!$B$3:$B$170=$A8)*(Calculations!$A$3:$A$170=B$2),Calculations!$D$3:$D$170),"")</f>
        <v>106.19</v>
      </c>
      <c r="C8" s="52" cm="1">
        <f t="array" ref="C8">IFERROR(_xlfn.XLOOKUP(1,(Calculations!$B$3:$B$170=$A8)*(Calculations!$A$3:$A$170=C$2),Calculations!$D$3:$D$170),"")</f>
        <v>138.27000000000001</v>
      </c>
      <c r="D8" s="52" cm="1">
        <f t="array" ref="D8">IFERROR(_xlfn.XLOOKUP(1,(Calculations!$B$3:$B$170=$A8)*(Calculations!$A$3:$A$170=D$2),Calculations!$D$3:$D$170),"")</f>
        <v>132.21</v>
      </c>
      <c r="E8" s="52" cm="1">
        <f t="array" ref="E8">IFERROR(_xlfn.XLOOKUP(1,(Calculations!$B$3:$B$170=$A8)*(Calculations!$A$3:$A$170=E$2),Calculations!$D$3:$D$170),"")</f>
        <v>108.65</v>
      </c>
      <c r="F8" s="52" cm="1">
        <f t="array" ref="F8">IFERROR(_xlfn.XLOOKUP(1,(Calculations!$B$3:$B$170=$A8)*(Calculations!$A$3:$A$170=F$2),Calculations!$D$3:$D$170),"")</f>
        <v>156.13</v>
      </c>
      <c r="G8" s="52" cm="1">
        <f t="array" ref="G8">IFERROR(_xlfn.XLOOKUP(1,(Calculations!$B$3:$B$170=$A8)*(Calculations!$A$3:$A$170=G$2),Calculations!$D$3:$D$170),"")</f>
        <v>121.17</v>
      </c>
      <c r="H8" s="52" cm="1">
        <f t="array" ref="H8">IFERROR(_xlfn.XLOOKUP(1,(Calculations!$B$3:$B$170=$A8)*(Calculations!$A$3:$A$170=H$2),Calculations!$D$3:$D$170),"")</f>
        <v>145.03</v>
      </c>
      <c r="I8" s="52" cm="1">
        <f t="array" ref="I8">IFERROR(_xlfn.XLOOKUP(1,(Calculations!$B$3:$B$170=$A8)*(Calculations!$A$3:$A$170=I$2),Calculations!$D$3:$D$170),"")</f>
        <v>108.92</v>
      </c>
      <c r="J8" s="52" cm="1">
        <f t="array" ref="J8">IFERROR(_xlfn.XLOOKUP(1,(Calculations!$B$3:$B$170=$A8)*(Calculations!$A$3:$A$170=J$2),Calculations!$D$3:$D$170),"")</f>
        <v>113.3</v>
      </c>
      <c r="K8" s="52" cm="1">
        <f t="array" ref="K8">IFERROR(_xlfn.XLOOKUP(1,(Calculations!$B$3:$B$170=$A8)*(Calculations!$A$3:$A$170=K$2),Calculations!$D$3:$D$170),"")</f>
        <v>142.32</v>
      </c>
      <c r="L8" s="52" cm="1">
        <f t="array" ref="L8">IFERROR(_xlfn.XLOOKUP(1,(Calculations!$B$3:$B$170=$A8)*(Calculations!$A$3:$A$170=L$2),Calculations!$D$3:$D$170),"")</f>
        <v>106.59</v>
      </c>
      <c r="M8" s="52" cm="1">
        <f t="array" ref="M8">IFERROR(_xlfn.XLOOKUP(1,(Calculations!$B$3:$B$170=$A8)*(Calculations!$A$3:$A$170=M$2),Calculations!$D$3:$D$170),"")</f>
        <v>103.93</v>
      </c>
      <c r="N8" s="52" cm="1">
        <f t="array" ref="N8">IFERROR(_xlfn.XLOOKUP(1,(Calculations!$B$3:$B$170=$A8)*(Calculations!$A$3:$A$170=N$2),Calculations!$D$3:$D$170),"")</f>
        <v>118.9</v>
      </c>
      <c r="O8" s="54" cm="1">
        <f t="array" ref="O8">IFERROR(_xlfn.XLOOKUP(1,(Calculations!$B$3:$B$170=$A8)*(Calculations!$A$3:$A$170=O$2),Calculations!$D$3:$D$170),"")</f>
        <v>94.51</v>
      </c>
      <c r="P8" s="55">
        <f t="shared" si="0"/>
        <v>1696.12</v>
      </c>
      <c r="Q8" s="52">
        <f t="shared" si="1"/>
        <v>121.15142857142857</v>
      </c>
      <c r="R8" s="53">
        <f t="shared" si="2"/>
        <v>-21.920000000000073</v>
      </c>
      <c r="S8" s="52">
        <f t="shared" si="3"/>
        <v>156.13</v>
      </c>
    </row>
    <row r="9" spans="1:19" x14ac:dyDescent="0.25">
      <c r="A9" s="1" t="str">
        <f>IF('Raw Data'!P10="","",'Raw Data'!P10)</f>
        <v>Tick Tock the Crocodile</v>
      </c>
      <c r="B9" s="52" cm="1">
        <f t="array" ref="B9">IFERROR(_xlfn.XLOOKUP(1,(Calculations!$B$3:$B$170=$A9)*(Calculations!$A$3:$A$170=B$2),Calculations!$D$3:$D$170),"")</f>
        <v>119.28</v>
      </c>
      <c r="C9" s="52" cm="1">
        <f t="array" ref="C9">IFERROR(_xlfn.XLOOKUP(1,(Calculations!$B$3:$B$170=$A9)*(Calculations!$A$3:$A$170=C$2),Calculations!$D$3:$D$170),"")</f>
        <v>127.63</v>
      </c>
      <c r="D9" s="52" cm="1">
        <f t="array" ref="D9">IFERROR(_xlfn.XLOOKUP(1,(Calculations!$B$3:$B$170=$A9)*(Calculations!$A$3:$A$170=D$2),Calculations!$D$3:$D$170),"")</f>
        <v>114.99</v>
      </c>
      <c r="E9" s="52" cm="1">
        <f t="array" ref="E9">IFERROR(_xlfn.XLOOKUP(1,(Calculations!$B$3:$B$170=$A9)*(Calculations!$A$3:$A$170=E$2),Calculations!$D$3:$D$170),"")</f>
        <v>133.71</v>
      </c>
      <c r="F9" s="52" cm="1">
        <f t="array" ref="F9">IFERROR(_xlfn.XLOOKUP(1,(Calculations!$B$3:$B$170=$A9)*(Calculations!$A$3:$A$170=F$2),Calculations!$D$3:$D$170),"")</f>
        <v>96.33</v>
      </c>
      <c r="G9" s="52" cm="1">
        <f t="array" ref="G9">IFERROR(_xlfn.XLOOKUP(1,(Calculations!$B$3:$B$170=$A9)*(Calculations!$A$3:$A$170=G$2),Calculations!$D$3:$D$170),"")</f>
        <v>123.2</v>
      </c>
      <c r="H9" s="52" cm="1">
        <f t="array" ref="H9">IFERROR(_xlfn.XLOOKUP(1,(Calculations!$B$3:$B$170=$A9)*(Calculations!$A$3:$A$170=H$2),Calculations!$D$3:$D$170),"")</f>
        <v>113.75</v>
      </c>
      <c r="I9" s="52" cm="1">
        <f t="array" ref="I9">IFERROR(_xlfn.XLOOKUP(1,(Calculations!$B$3:$B$170=$A9)*(Calculations!$A$3:$A$170=I$2),Calculations!$D$3:$D$170),"")</f>
        <v>123.68</v>
      </c>
      <c r="J9" s="52" cm="1">
        <f t="array" ref="J9">IFERROR(_xlfn.XLOOKUP(1,(Calculations!$B$3:$B$170=$A9)*(Calculations!$A$3:$A$170=J$2),Calculations!$D$3:$D$170),"")</f>
        <v>99.59</v>
      </c>
      <c r="K9" s="52" cm="1">
        <f t="array" ref="K9">IFERROR(_xlfn.XLOOKUP(1,(Calculations!$B$3:$B$170=$A9)*(Calculations!$A$3:$A$170=K$2),Calculations!$D$3:$D$170),"")</f>
        <v>110.25</v>
      </c>
      <c r="L9" s="52" cm="1">
        <f t="array" ref="L9">IFERROR(_xlfn.XLOOKUP(1,(Calculations!$B$3:$B$170=$A9)*(Calculations!$A$3:$A$170=L$2),Calculations!$D$3:$D$170),"")</f>
        <v>136.69</v>
      </c>
      <c r="M9" s="52" cm="1">
        <f t="array" ref="M9">IFERROR(_xlfn.XLOOKUP(1,(Calculations!$B$3:$B$170=$A9)*(Calculations!$A$3:$A$170=M$2),Calculations!$D$3:$D$170),"")</f>
        <v>100.49</v>
      </c>
      <c r="N9" s="52" cm="1">
        <f t="array" ref="N9">IFERROR(_xlfn.XLOOKUP(1,(Calculations!$B$3:$B$170=$A9)*(Calculations!$A$3:$A$170=N$2),Calculations!$D$3:$D$170),"")</f>
        <v>126.66</v>
      </c>
      <c r="O9" s="54" cm="1">
        <f t="array" ref="O9">IFERROR(_xlfn.XLOOKUP(1,(Calculations!$B$3:$B$170=$A9)*(Calculations!$A$3:$A$170=O$2),Calculations!$D$3:$D$170),"")</f>
        <v>117.93</v>
      </c>
      <c r="P9" s="55">
        <f t="shared" si="0"/>
        <v>1644.1800000000003</v>
      </c>
      <c r="Q9" s="52">
        <f t="shared" si="1"/>
        <v>117.44142857142859</v>
      </c>
      <c r="R9" s="53">
        <f t="shared" si="2"/>
        <v>-139.2199999999998</v>
      </c>
      <c r="S9" s="52">
        <f t="shared" si="3"/>
        <v>136.69</v>
      </c>
    </row>
    <row r="10" spans="1:19" x14ac:dyDescent="0.25">
      <c r="A10" s="1" t="str">
        <f>IF('Raw Data'!P11="","",'Raw Data'!P11)</f>
        <v>Aladdin Jazerra</v>
      </c>
      <c r="B10" s="52" cm="1">
        <f t="array" ref="B10">IFERROR(_xlfn.XLOOKUP(1,(Calculations!$B$3:$B$170=$A10)*(Calculations!$A$3:$A$170=B$2),Calculations!$D$3:$D$170),"")</f>
        <v>91.75</v>
      </c>
      <c r="C10" s="52" cm="1">
        <f t="array" ref="C10">IFERROR(_xlfn.XLOOKUP(1,(Calculations!$B$3:$B$170=$A10)*(Calculations!$A$3:$A$170=C$2),Calculations!$D$3:$D$170),"")</f>
        <v>100.77</v>
      </c>
      <c r="D10" s="52" cm="1">
        <f t="array" ref="D10">IFERROR(_xlfn.XLOOKUP(1,(Calculations!$B$3:$B$170=$A10)*(Calculations!$A$3:$A$170=D$2),Calculations!$D$3:$D$170),"")</f>
        <v>91.81</v>
      </c>
      <c r="E10" s="52" cm="1">
        <f t="array" ref="E10">IFERROR(_xlfn.XLOOKUP(1,(Calculations!$B$3:$B$170=$A10)*(Calculations!$A$3:$A$170=E$2),Calculations!$D$3:$D$170),"")</f>
        <v>129.07</v>
      </c>
      <c r="F10" s="52" cm="1">
        <f t="array" ref="F10">IFERROR(_xlfn.XLOOKUP(1,(Calculations!$B$3:$B$170=$A10)*(Calculations!$A$3:$A$170=F$2),Calculations!$D$3:$D$170),"")</f>
        <v>133.47</v>
      </c>
      <c r="G10" s="52" cm="1">
        <f t="array" ref="G10">IFERROR(_xlfn.XLOOKUP(1,(Calculations!$B$3:$B$170=$A10)*(Calculations!$A$3:$A$170=G$2),Calculations!$D$3:$D$170),"")</f>
        <v>102.73</v>
      </c>
      <c r="H10" s="52" cm="1">
        <f t="array" ref="H10">IFERROR(_xlfn.XLOOKUP(1,(Calculations!$B$3:$B$170=$A10)*(Calculations!$A$3:$A$170=H$2),Calculations!$D$3:$D$170),"")</f>
        <v>101.41</v>
      </c>
      <c r="I10" s="52" cm="1">
        <f t="array" ref="I10">IFERROR(_xlfn.XLOOKUP(1,(Calculations!$B$3:$B$170=$A10)*(Calculations!$A$3:$A$170=I$2),Calculations!$D$3:$D$170),"")</f>
        <v>179.6</v>
      </c>
      <c r="J10" s="52" cm="1">
        <f t="array" ref="J10">IFERROR(_xlfn.XLOOKUP(1,(Calculations!$B$3:$B$170=$A10)*(Calculations!$A$3:$A$170=J$2),Calculations!$D$3:$D$170),"")</f>
        <v>134.54</v>
      </c>
      <c r="K10" s="52" cm="1">
        <f t="array" ref="K10">IFERROR(_xlfn.XLOOKUP(1,(Calculations!$B$3:$B$170=$A10)*(Calculations!$A$3:$A$170=K$2),Calculations!$D$3:$D$170),"")</f>
        <v>145.30000000000001</v>
      </c>
      <c r="L10" s="52" cm="1">
        <f t="array" ref="L10">IFERROR(_xlfn.XLOOKUP(1,(Calculations!$B$3:$B$170=$A10)*(Calculations!$A$3:$A$170=L$2),Calculations!$D$3:$D$170),"")</f>
        <v>87.7</v>
      </c>
      <c r="M10" s="52" cm="1">
        <f t="array" ref="M10">IFERROR(_xlfn.XLOOKUP(1,(Calculations!$B$3:$B$170=$A10)*(Calculations!$A$3:$A$170=M$2),Calculations!$D$3:$D$170),"")</f>
        <v>127.95</v>
      </c>
      <c r="N10" s="52" cm="1">
        <f t="array" ref="N10">IFERROR(_xlfn.XLOOKUP(1,(Calculations!$B$3:$B$170=$A10)*(Calculations!$A$3:$A$170=N$2),Calculations!$D$3:$D$170),"")</f>
        <v>104.92</v>
      </c>
      <c r="O10" s="54" cm="1">
        <f t="array" ref="O10">IFERROR(_xlfn.XLOOKUP(1,(Calculations!$B$3:$B$170=$A10)*(Calculations!$A$3:$A$170=O$2),Calculations!$D$3:$D$170),"")</f>
        <v>110.54</v>
      </c>
      <c r="P10" s="55">
        <f t="shared" si="0"/>
        <v>1641.5600000000002</v>
      </c>
      <c r="Q10" s="52">
        <f t="shared" si="1"/>
        <v>117.25428571428573</v>
      </c>
      <c r="R10" s="53">
        <f t="shared" si="2"/>
        <v>-27.509999999999764</v>
      </c>
      <c r="S10" s="52">
        <f t="shared" si="3"/>
        <v>179.6</v>
      </c>
    </row>
    <row r="11" spans="1:19" x14ac:dyDescent="0.25">
      <c r="A11" s="1" t="str">
        <f>IF('Raw Data'!P13="","",'Raw Data'!P13)</f>
        <v>Prince Abooboo</v>
      </c>
      <c r="B11" s="52" cm="1">
        <f t="array" ref="B11">IFERROR(_xlfn.XLOOKUP(1,(Calculations!$B$3:$B$170=$A11)*(Calculations!$A$3:$A$170=B$2),Calculations!$D$3:$D$170),"")</f>
        <v>136.82</v>
      </c>
      <c r="C11" s="52" cm="1">
        <f t="array" ref="C11">IFERROR(_xlfn.XLOOKUP(1,(Calculations!$B$3:$B$170=$A11)*(Calculations!$A$3:$A$170=C$2),Calculations!$D$3:$D$170),"")</f>
        <v>113.2</v>
      </c>
      <c r="D11" s="52" cm="1">
        <f t="array" ref="D11">IFERROR(_xlfn.XLOOKUP(1,(Calculations!$B$3:$B$170=$A11)*(Calculations!$A$3:$A$170=D$2),Calculations!$D$3:$D$170),"")</f>
        <v>121.96</v>
      </c>
      <c r="E11" s="52" cm="1">
        <f t="array" ref="E11">IFERROR(_xlfn.XLOOKUP(1,(Calculations!$B$3:$B$170=$A11)*(Calculations!$A$3:$A$170=E$2),Calculations!$D$3:$D$170),"")</f>
        <v>149.13999999999999</v>
      </c>
      <c r="F11" s="52" cm="1">
        <f t="array" ref="F11">IFERROR(_xlfn.XLOOKUP(1,(Calculations!$B$3:$B$170=$A11)*(Calculations!$A$3:$A$170=F$2),Calculations!$D$3:$D$170),"")</f>
        <v>163.29</v>
      </c>
      <c r="G11" s="52" cm="1">
        <f t="array" ref="G11">IFERROR(_xlfn.XLOOKUP(1,(Calculations!$B$3:$B$170=$A11)*(Calculations!$A$3:$A$170=G$2),Calculations!$D$3:$D$170),"")</f>
        <v>117.31</v>
      </c>
      <c r="H11" s="52" cm="1">
        <f t="array" ref="H11">IFERROR(_xlfn.XLOOKUP(1,(Calculations!$B$3:$B$170=$A11)*(Calculations!$A$3:$A$170=H$2),Calculations!$D$3:$D$170),"")</f>
        <v>79.88</v>
      </c>
      <c r="I11" s="52" cm="1">
        <f t="array" ref="I11">IFERROR(_xlfn.XLOOKUP(1,(Calculations!$B$3:$B$170=$A11)*(Calculations!$A$3:$A$170=I$2),Calculations!$D$3:$D$170),"")</f>
        <v>113.63</v>
      </c>
      <c r="J11" s="52" cm="1">
        <f t="array" ref="J11">IFERROR(_xlfn.XLOOKUP(1,(Calculations!$B$3:$B$170=$A11)*(Calculations!$A$3:$A$170=J$2),Calculations!$D$3:$D$170),"")</f>
        <v>144.35</v>
      </c>
      <c r="K11" s="52" cm="1">
        <f t="array" ref="K11">IFERROR(_xlfn.XLOOKUP(1,(Calculations!$B$3:$B$170=$A11)*(Calculations!$A$3:$A$170=K$2),Calculations!$D$3:$D$170),"")</f>
        <v>104.59</v>
      </c>
      <c r="L11" s="52" cm="1">
        <f t="array" ref="L11">IFERROR(_xlfn.XLOOKUP(1,(Calculations!$B$3:$B$170=$A11)*(Calculations!$A$3:$A$170=L$2),Calculations!$D$3:$D$170),"")</f>
        <v>159.81</v>
      </c>
      <c r="M11" s="52" cm="1">
        <f t="array" ref="M11">IFERROR(_xlfn.XLOOKUP(1,(Calculations!$B$3:$B$170=$A11)*(Calculations!$A$3:$A$170=M$2),Calculations!$D$3:$D$170),"")</f>
        <v>122.31</v>
      </c>
      <c r="N11" s="52" cm="1">
        <f t="array" ref="N11">IFERROR(_xlfn.XLOOKUP(1,(Calculations!$B$3:$B$170=$A11)*(Calculations!$A$3:$A$170=N$2),Calculations!$D$3:$D$170),"")</f>
        <v>113.97</v>
      </c>
      <c r="O11" s="54" cm="1">
        <f t="array" ref="O11">IFERROR(_xlfn.XLOOKUP(1,(Calculations!$B$3:$B$170=$A11)*(Calculations!$A$3:$A$170=O$2),Calculations!$D$3:$D$170),"")</f>
        <v>89.05</v>
      </c>
      <c r="P11" s="55">
        <f t="shared" si="0"/>
        <v>1729.3099999999995</v>
      </c>
      <c r="Q11" s="52">
        <f t="shared" si="1"/>
        <v>123.52214285714282</v>
      </c>
      <c r="R11" s="53">
        <f t="shared" si="2"/>
        <v>-92.730000000000246</v>
      </c>
      <c r="S11" s="52">
        <f t="shared" si="3"/>
        <v>163.29</v>
      </c>
    </row>
    <row r="12" spans="1:19" x14ac:dyDescent="0.25">
      <c r="A12" s="1" t="str">
        <f>IF('Raw Data'!P14="","",'Raw Data'!P14)</f>
        <v>Wrong Lever!</v>
      </c>
      <c r="B12" s="52" cm="1">
        <f t="array" ref="B12">IFERROR(_xlfn.XLOOKUP(1,(Calculations!$B$3:$B$170=$A12)*(Calculations!$A$3:$A$170=B$2),Calculations!$D$3:$D$170),"")</f>
        <v>88.71</v>
      </c>
      <c r="C12" s="52" cm="1">
        <f t="array" ref="C12">IFERROR(_xlfn.XLOOKUP(1,(Calculations!$B$3:$B$170=$A12)*(Calculations!$A$3:$A$170=C$2),Calculations!$D$3:$D$170),"")</f>
        <v>116.04</v>
      </c>
      <c r="D12" s="52" cm="1">
        <f t="array" ref="D12">IFERROR(_xlfn.XLOOKUP(1,(Calculations!$B$3:$B$170=$A12)*(Calculations!$A$3:$A$170=D$2),Calculations!$D$3:$D$170),"")</f>
        <v>108.47</v>
      </c>
      <c r="E12" s="52" cm="1">
        <f t="array" ref="E12">IFERROR(_xlfn.XLOOKUP(1,(Calculations!$B$3:$B$170=$A12)*(Calculations!$A$3:$A$170=E$2),Calculations!$D$3:$D$170),"")</f>
        <v>106.53</v>
      </c>
      <c r="F12" s="52" cm="1">
        <f t="array" ref="F12">IFERROR(_xlfn.XLOOKUP(1,(Calculations!$B$3:$B$170=$A12)*(Calculations!$A$3:$A$170=F$2),Calculations!$D$3:$D$170),"")</f>
        <v>94.83</v>
      </c>
      <c r="G12" s="52" cm="1">
        <f t="array" ref="G12">IFERROR(_xlfn.XLOOKUP(1,(Calculations!$B$3:$B$170=$A12)*(Calculations!$A$3:$A$170=G$2),Calculations!$D$3:$D$170),"")</f>
        <v>93.09</v>
      </c>
      <c r="H12" s="52" cm="1">
        <f t="array" ref="H12">IFERROR(_xlfn.XLOOKUP(1,(Calculations!$B$3:$B$170=$A12)*(Calculations!$A$3:$A$170=H$2),Calculations!$D$3:$D$170),"")</f>
        <v>131.51</v>
      </c>
      <c r="I12" s="52" cm="1">
        <f t="array" ref="I12">IFERROR(_xlfn.XLOOKUP(1,(Calculations!$B$3:$B$170=$A12)*(Calculations!$A$3:$A$170=I$2),Calculations!$D$3:$D$170),"")</f>
        <v>100.16</v>
      </c>
      <c r="J12" s="52" cm="1">
        <f t="array" ref="J12">IFERROR(_xlfn.XLOOKUP(1,(Calculations!$B$3:$B$170=$A12)*(Calculations!$A$3:$A$170=J$2),Calculations!$D$3:$D$170),"")</f>
        <v>118.1</v>
      </c>
      <c r="K12" s="52" cm="1">
        <f t="array" ref="K12">IFERROR(_xlfn.XLOOKUP(1,(Calculations!$B$3:$B$170=$A12)*(Calculations!$A$3:$A$170=K$2),Calculations!$D$3:$D$170),"")</f>
        <v>127.99</v>
      </c>
      <c r="L12" s="52" cm="1">
        <f t="array" ref="L12">IFERROR(_xlfn.XLOOKUP(1,(Calculations!$B$3:$B$170=$A12)*(Calculations!$A$3:$A$170=L$2),Calculations!$D$3:$D$170),"")</f>
        <v>108.07</v>
      </c>
      <c r="M12" s="52" cm="1">
        <f t="array" ref="M12">IFERROR(_xlfn.XLOOKUP(1,(Calculations!$B$3:$B$170=$A12)*(Calculations!$A$3:$A$170=M$2),Calculations!$D$3:$D$170),"")</f>
        <v>108.73</v>
      </c>
      <c r="N12" s="52" cm="1">
        <f t="array" ref="N12">IFERROR(_xlfn.XLOOKUP(1,(Calculations!$B$3:$B$170=$A12)*(Calculations!$A$3:$A$170=N$2),Calculations!$D$3:$D$170),"")</f>
        <v>123.1</v>
      </c>
      <c r="O12" s="54" cm="1">
        <f t="array" ref="O12">IFERROR(_xlfn.XLOOKUP(1,(Calculations!$B$3:$B$170=$A12)*(Calculations!$A$3:$A$170=O$2),Calculations!$D$3:$D$170),"")</f>
        <v>100.66</v>
      </c>
      <c r="P12" s="55">
        <f t="shared" si="0"/>
        <v>1525.99</v>
      </c>
      <c r="Q12" s="52">
        <f t="shared" si="1"/>
        <v>108.99928571428572</v>
      </c>
      <c r="R12" s="53">
        <f t="shared" si="2"/>
        <v>-208.7199999999998</v>
      </c>
      <c r="S12" s="52">
        <f t="shared" si="3"/>
        <v>131.51</v>
      </c>
    </row>
    <row r="13" spans="1:19" x14ac:dyDescent="0.25">
      <c r="A13" s="1" t="str">
        <f>IF('Raw Data'!P15="","",'Raw Data'!P15)</f>
        <v>5 Dozen Eggs by Gaston</v>
      </c>
      <c r="B13" s="52" cm="1">
        <f t="array" ref="B13">IFERROR(_xlfn.XLOOKUP(1,(Calculations!$B$3:$B$170=$A13)*(Calculations!$A$3:$A$170=B$2),Calculations!$D$3:$D$170),"")</f>
        <v>125.82</v>
      </c>
      <c r="C13" s="52" cm="1">
        <f t="array" ref="C13">IFERROR(_xlfn.XLOOKUP(1,(Calculations!$B$3:$B$170=$A13)*(Calculations!$A$3:$A$170=C$2),Calculations!$D$3:$D$170),"")</f>
        <v>111.21</v>
      </c>
      <c r="D13" s="52" cm="1">
        <f t="array" ref="D13">IFERROR(_xlfn.XLOOKUP(1,(Calculations!$B$3:$B$170=$A13)*(Calculations!$A$3:$A$170=D$2),Calculations!$D$3:$D$170),"")</f>
        <v>137.16999999999999</v>
      </c>
      <c r="E13" s="52" cm="1">
        <f t="array" ref="E13">IFERROR(_xlfn.XLOOKUP(1,(Calculations!$B$3:$B$170=$A13)*(Calculations!$A$3:$A$170=E$2),Calculations!$D$3:$D$170),"")</f>
        <v>129.44999999999999</v>
      </c>
      <c r="F13" s="52" cm="1">
        <f t="array" ref="F13">IFERROR(_xlfn.XLOOKUP(1,(Calculations!$B$3:$B$170=$A13)*(Calculations!$A$3:$A$170=F$2),Calculations!$D$3:$D$170),"")</f>
        <v>132.61000000000001</v>
      </c>
      <c r="G13" s="52" cm="1">
        <f t="array" ref="G13">IFERROR(_xlfn.XLOOKUP(1,(Calculations!$B$3:$B$170=$A13)*(Calculations!$A$3:$A$170=G$2),Calculations!$D$3:$D$170),"")</f>
        <v>152.11000000000001</v>
      </c>
      <c r="H13" s="52" cm="1">
        <f t="array" ref="H13">IFERROR(_xlfn.XLOOKUP(1,(Calculations!$B$3:$B$170=$A13)*(Calculations!$A$3:$A$170=H$2),Calculations!$D$3:$D$170),"")</f>
        <v>150.08000000000001</v>
      </c>
      <c r="I13" s="52" cm="1">
        <f t="array" ref="I13">IFERROR(_xlfn.XLOOKUP(1,(Calculations!$B$3:$B$170=$A13)*(Calculations!$A$3:$A$170=I$2),Calculations!$D$3:$D$170),"")</f>
        <v>136.25</v>
      </c>
      <c r="J13" s="52" cm="1">
        <f t="array" ref="J13">IFERROR(_xlfn.XLOOKUP(1,(Calculations!$B$3:$B$170=$A13)*(Calculations!$A$3:$A$170=J$2),Calculations!$D$3:$D$170),"")</f>
        <v>113.27</v>
      </c>
      <c r="K13" s="52" cm="1">
        <f t="array" ref="K13">IFERROR(_xlfn.XLOOKUP(1,(Calculations!$B$3:$B$170=$A13)*(Calculations!$A$3:$A$170=K$2),Calculations!$D$3:$D$170),"")</f>
        <v>104.5</v>
      </c>
      <c r="L13" s="52" cm="1">
        <f t="array" ref="L13">IFERROR(_xlfn.XLOOKUP(1,(Calculations!$B$3:$B$170=$A13)*(Calculations!$A$3:$A$170=L$2),Calculations!$D$3:$D$170),"")</f>
        <v>120.97</v>
      </c>
      <c r="M13" s="52" cm="1">
        <f t="array" ref="M13">IFERROR(_xlfn.XLOOKUP(1,(Calculations!$B$3:$B$170=$A13)*(Calculations!$A$3:$A$170=M$2),Calculations!$D$3:$D$170),"")</f>
        <v>142.72999999999999</v>
      </c>
      <c r="N13" s="52" cm="1">
        <f t="array" ref="N13">IFERROR(_xlfn.XLOOKUP(1,(Calculations!$B$3:$B$170=$A13)*(Calculations!$A$3:$A$170=N$2),Calculations!$D$3:$D$170),"")</f>
        <v>98.45</v>
      </c>
      <c r="O13" s="54" cm="1">
        <f t="array" ref="O13">IFERROR(_xlfn.XLOOKUP(1,(Calculations!$B$3:$B$170=$A13)*(Calculations!$A$3:$A$170=O$2),Calculations!$D$3:$D$170),"")</f>
        <v>127.76</v>
      </c>
      <c r="P13" s="55">
        <f t="shared" si="0"/>
        <v>1782.38</v>
      </c>
      <c r="Q13" s="52">
        <f t="shared" si="1"/>
        <v>127.31285714285715</v>
      </c>
      <c r="R13" s="53">
        <f t="shared" si="2"/>
        <v>-12.3299999999997</v>
      </c>
      <c r="S13" s="52">
        <f t="shared" si="3"/>
        <v>152.11000000000001</v>
      </c>
    </row>
    <row r="14" spans="1:19" x14ac:dyDescent="0.25">
      <c r="A14" s="1" t="str">
        <f>IF('Raw Data'!P16="","",'Raw Data'!P16)</f>
        <v>The Rescuers vs Medusa</v>
      </c>
      <c r="B14" s="52" cm="1">
        <f t="array" ref="B14">IFERROR(_xlfn.XLOOKUP(1,(Calculations!$B$3:$B$170=$A14)*(Calculations!$A$3:$A$170=B$2),Calculations!$D$3:$D$170),"")</f>
        <v>139.93</v>
      </c>
      <c r="C14" s="52" cm="1">
        <f t="array" ref="C14">IFERROR(_xlfn.XLOOKUP(1,(Calculations!$B$3:$B$170=$A14)*(Calculations!$A$3:$A$170=C$2),Calculations!$D$3:$D$170),"")</f>
        <v>144.37</v>
      </c>
      <c r="D14" s="52" cm="1">
        <f t="array" ref="D14">IFERROR(_xlfn.XLOOKUP(1,(Calculations!$B$3:$B$170=$A14)*(Calculations!$A$3:$A$170=D$2),Calculations!$D$3:$D$170),"")</f>
        <v>142.05000000000001</v>
      </c>
      <c r="E14" s="52" cm="1">
        <f t="array" ref="E14">IFERROR(_xlfn.XLOOKUP(1,(Calculations!$B$3:$B$170=$A14)*(Calculations!$A$3:$A$170=E$2),Calculations!$D$3:$D$170),"")</f>
        <v>99.91</v>
      </c>
      <c r="F14" s="52" cm="1">
        <f t="array" ref="F14">IFERROR(_xlfn.XLOOKUP(1,(Calculations!$B$3:$B$170=$A14)*(Calculations!$A$3:$A$170=F$2),Calculations!$D$3:$D$170),"")</f>
        <v>147.25</v>
      </c>
      <c r="G14" s="52" cm="1">
        <f t="array" ref="G14">IFERROR(_xlfn.XLOOKUP(1,(Calculations!$B$3:$B$170=$A14)*(Calculations!$A$3:$A$170=G$2),Calculations!$D$3:$D$170),"")</f>
        <v>120.31</v>
      </c>
      <c r="H14" s="52" cm="1">
        <f t="array" ref="H14">IFERROR(_xlfn.XLOOKUP(1,(Calculations!$B$3:$B$170=$A14)*(Calculations!$A$3:$A$170=H$2),Calculations!$D$3:$D$170),"")</f>
        <v>168.44</v>
      </c>
      <c r="I14" s="52" cm="1">
        <f t="array" ref="I14">IFERROR(_xlfn.XLOOKUP(1,(Calculations!$B$3:$B$170=$A14)*(Calculations!$A$3:$A$170=I$2),Calculations!$D$3:$D$170),"")</f>
        <v>122.9</v>
      </c>
      <c r="J14" s="52" cm="1">
        <f t="array" ref="J14">IFERROR(_xlfn.XLOOKUP(1,(Calculations!$B$3:$B$170=$A14)*(Calculations!$A$3:$A$170=J$2),Calculations!$D$3:$D$170),"")</f>
        <v>121.46</v>
      </c>
      <c r="K14" s="52" cm="1">
        <f t="array" ref="K14">IFERROR(_xlfn.XLOOKUP(1,(Calculations!$B$3:$B$170=$A14)*(Calculations!$A$3:$A$170=K$2),Calculations!$D$3:$D$170),"")</f>
        <v>125.67</v>
      </c>
      <c r="L14" s="52" cm="1">
        <f t="array" ref="L14">IFERROR(_xlfn.XLOOKUP(1,(Calculations!$B$3:$B$170=$A14)*(Calculations!$A$3:$A$170=L$2),Calculations!$D$3:$D$170),"")</f>
        <v>81.55</v>
      </c>
      <c r="M14" s="52" cm="1">
        <f t="array" ref="M14">IFERROR(_xlfn.XLOOKUP(1,(Calculations!$B$3:$B$170=$A14)*(Calculations!$A$3:$A$170=M$2),Calculations!$D$3:$D$170),"")</f>
        <v>138.38999999999999</v>
      </c>
      <c r="N14" s="52" cm="1">
        <f t="array" ref="N14">IFERROR(_xlfn.XLOOKUP(1,(Calculations!$B$3:$B$170=$A14)*(Calculations!$A$3:$A$170=N$2),Calculations!$D$3:$D$170),"")</f>
        <v>134.13999999999999</v>
      </c>
      <c r="O14" s="54" cm="1">
        <f t="array" ref="O14">IFERROR(_xlfn.XLOOKUP(1,(Calculations!$B$3:$B$170=$A14)*(Calculations!$A$3:$A$170=O$2),Calculations!$D$3:$D$170),"")</f>
        <v>160.19999999999999</v>
      </c>
      <c r="P14" s="55">
        <f t="shared" si="0"/>
        <v>1846.57</v>
      </c>
      <c r="Q14" s="52">
        <f t="shared" si="1"/>
        <v>131.89785714285713</v>
      </c>
      <c r="R14" s="53">
        <f t="shared" si="2"/>
        <v>134.2199999999998</v>
      </c>
      <c r="S14" s="52">
        <f t="shared" si="3"/>
        <v>168.44</v>
      </c>
    </row>
    <row r="15" spans="1:19" x14ac:dyDescent="0.25">
      <c r="A15" s="1"/>
      <c r="Q15" s="33" t="str">
        <f t="shared" si="1"/>
        <v/>
      </c>
    </row>
    <row r="16" spans="1:19" ht="19.5" x14ac:dyDescent="0.3">
      <c r="B16" s="101" t="s">
        <v>33</v>
      </c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</row>
    <row r="17" spans="1:17" x14ac:dyDescent="0.25">
      <c r="A17" s="1"/>
      <c r="B17" s="4">
        <v>1</v>
      </c>
      <c r="C17" s="4">
        <v>2</v>
      </c>
      <c r="D17" s="4">
        <v>3</v>
      </c>
      <c r="E17" s="4">
        <v>4</v>
      </c>
      <c r="F17" s="4">
        <v>5</v>
      </c>
      <c r="G17" s="4">
        <v>6</v>
      </c>
      <c r="H17" s="4">
        <v>7</v>
      </c>
      <c r="I17" s="4">
        <v>8</v>
      </c>
      <c r="J17" s="4">
        <v>9</v>
      </c>
      <c r="K17" s="4">
        <v>10</v>
      </c>
      <c r="L17" s="4">
        <v>11</v>
      </c>
      <c r="M17" s="4">
        <v>12</v>
      </c>
      <c r="N17" s="4">
        <v>13</v>
      </c>
      <c r="O17" s="4">
        <v>14</v>
      </c>
      <c r="P17" s="34" t="s">
        <v>34</v>
      </c>
      <c r="Q17" s="35" t="s">
        <v>35</v>
      </c>
    </row>
    <row r="18" spans="1:17" x14ac:dyDescent="0.25">
      <c r="A18" s="1" t="str">
        <f>IF('Raw Data'!P3="","",'Raw Data'!P3)</f>
        <v>Jafar</v>
      </c>
      <c r="B18" s="52" cm="1">
        <f t="array" ref="B18">IFERROR(_xlfn.XLOOKUP(1,(Calculations!$B$3:$B$170=$A18)*(Calculations!$A$3:$A$170=B$17),Calculations!$F$3:$F$170),"")</f>
        <v>106.19</v>
      </c>
      <c r="C18" s="52" cm="1">
        <f t="array" ref="C18">IFERROR(_xlfn.XLOOKUP(1,(Calculations!$B$3:$B$170=$A18)*(Calculations!$A$3:$A$170=C$17),Calculations!$F$3:$F$170),"")</f>
        <v>138.4</v>
      </c>
      <c r="D18" s="52" cm="1">
        <f t="array" ref="D18">IFERROR(_xlfn.XLOOKUP(1,(Calculations!$B$3:$B$170=$A18)*(Calculations!$A$3:$A$170=D$17),Calculations!$F$3:$F$170),"")</f>
        <v>97.42</v>
      </c>
      <c r="E18" s="52" cm="1">
        <f t="array" ref="E18">IFERROR(_xlfn.XLOOKUP(1,(Calculations!$B$3:$B$170=$A18)*(Calculations!$A$3:$A$170=E$17),Calculations!$F$3:$F$170),"")</f>
        <v>150.51</v>
      </c>
      <c r="F18" s="52" cm="1">
        <f t="array" ref="F18">IFERROR(_xlfn.XLOOKUP(1,(Calculations!$B$3:$B$170=$A18)*(Calculations!$A$3:$A$170=F$17),Calculations!$F$3:$F$170),"")</f>
        <v>94.83</v>
      </c>
      <c r="G18" s="52" cm="1">
        <f t="array" ref="G18">IFERROR(_xlfn.XLOOKUP(1,(Calculations!$B$3:$B$170=$A18)*(Calculations!$A$3:$A$170=G$17),Calculations!$F$3:$F$170),"")</f>
        <v>117.31</v>
      </c>
      <c r="H18" s="52" cm="1">
        <f t="array" ref="H18">IFERROR(_xlfn.XLOOKUP(1,(Calculations!$B$3:$B$170=$A18)*(Calculations!$A$3:$A$170=H$17),Calculations!$F$3:$F$170),"")</f>
        <v>150.08000000000001</v>
      </c>
      <c r="I18" s="52" cm="1">
        <f t="array" ref="I18">IFERROR(_xlfn.XLOOKUP(1,(Calculations!$B$3:$B$170=$A18)*(Calculations!$A$3:$A$170=I$17),Calculations!$F$3:$F$170),"")</f>
        <v>179.6</v>
      </c>
      <c r="J18" s="52" cm="1">
        <f t="array" ref="J18">IFERROR(_xlfn.XLOOKUP(1,(Calculations!$B$3:$B$170=$A18)*(Calculations!$A$3:$A$170=J$17),Calculations!$F$3:$F$170),"")</f>
        <v>121.46</v>
      </c>
      <c r="K18" s="52" cm="1">
        <f t="array" ref="K18">IFERROR(_xlfn.XLOOKUP(1,(Calculations!$B$3:$B$170=$A18)*(Calculations!$A$3:$A$170=K$17),Calculations!$F$3:$F$170),"")</f>
        <v>110.25</v>
      </c>
      <c r="L18" s="52" cm="1">
        <f t="array" ref="L18">IFERROR(_xlfn.XLOOKUP(1,(Calculations!$B$3:$B$170=$A18)*(Calculations!$A$3:$A$170=L$17),Calculations!$F$3:$F$170),"")</f>
        <v>142.21</v>
      </c>
      <c r="M18" s="52" cm="1">
        <f t="array" ref="M18">IFERROR(_xlfn.XLOOKUP(1,(Calculations!$B$3:$B$170=$A18)*(Calculations!$A$3:$A$170=M$17),Calculations!$F$3:$F$170),"")</f>
        <v>121.84</v>
      </c>
      <c r="N18" s="52" cm="1">
        <f t="array" ref="N18">IFERROR(_xlfn.XLOOKUP(1,(Calculations!$B$3:$B$170=$A18)*(Calculations!$A$3:$A$170=N$17),Calculations!$F$3:$F$170),"")</f>
        <v>108.56</v>
      </c>
      <c r="O18" s="54" cm="1">
        <f t="array" ref="O18">IFERROR(_xlfn.XLOOKUP(1,(Calculations!$B$3:$B$170=$A18)*(Calculations!$A$3:$A$170=O$17),Calculations!$F$3:$F$170),"")</f>
        <v>134.46</v>
      </c>
      <c r="P18" s="55">
        <f>IF(B18="","",SUM(B18:O18))</f>
        <v>1773.1200000000001</v>
      </c>
      <c r="Q18" s="52">
        <f t="shared" si="1"/>
        <v>126.65142857142858</v>
      </c>
    </row>
    <row r="19" spans="1:17" x14ac:dyDescent="0.25">
      <c r="A19" s="1" t="str">
        <f>IF('Raw Data'!P4="","",'Raw Data'!P4)</f>
        <v>The Goob Troop</v>
      </c>
      <c r="B19" s="52" cm="1">
        <f t="array" ref="B19">IFERROR(_xlfn.XLOOKUP(1,(Calculations!$B$3:$B$170=$A19)*(Calculations!$A$3:$A$170=B$17),Calculations!$F$3:$F$170),"")</f>
        <v>125.82</v>
      </c>
      <c r="C19" s="52" cm="1">
        <f t="array" ref="C19">IFERROR(_xlfn.XLOOKUP(1,(Calculations!$B$3:$B$170=$A19)*(Calculations!$A$3:$A$170=C$17),Calculations!$F$3:$F$170),"")</f>
        <v>114.81</v>
      </c>
      <c r="D19" s="52" cm="1">
        <f t="array" ref="D19">IFERROR(_xlfn.XLOOKUP(1,(Calculations!$B$3:$B$170=$A19)*(Calculations!$A$3:$A$170=D$17),Calculations!$F$3:$F$170),"")</f>
        <v>117.61</v>
      </c>
      <c r="E19" s="52" cm="1">
        <f t="array" ref="E19">IFERROR(_xlfn.XLOOKUP(1,(Calculations!$B$3:$B$170=$A19)*(Calculations!$A$3:$A$170=E$17),Calculations!$F$3:$F$170),"")</f>
        <v>126.87</v>
      </c>
      <c r="F19" s="52" cm="1">
        <f t="array" ref="F19">IFERROR(_xlfn.XLOOKUP(1,(Calculations!$B$3:$B$170=$A19)*(Calculations!$A$3:$A$170=F$17),Calculations!$F$3:$F$170),"")</f>
        <v>133.47</v>
      </c>
      <c r="G19" s="52" cm="1">
        <f t="array" ref="G19">IFERROR(_xlfn.XLOOKUP(1,(Calculations!$B$3:$B$170=$A19)*(Calculations!$A$3:$A$170=G$17),Calculations!$F$3:$F$170),"")</f>
        <v>121.17</v>
      </c>
      <c r="H19" s="52" cm="1">
        <f t="array" ref="H19">IFERROR(_xlfn.XLOOKUP(1,(Calculations!$B$3:$B$170=$A19)*(Calculations!$A$3:$A$170=H$17),Calculations!$F$3:$F$170),"")</f>
        <v>111.53</v>
      </c>
      <c r="I19" s="52" cm="1">
        <f t="array" ref="I19">IFERROR(_xlfn.XLOOKUP(1,(Calculations!$B$3:$B$170=$A19)*(Calculations!$A$3:$A$170=I$17),Calculations!$F$3:$F$170),"")</f>
        <v>122.9</v>
      </c>
      <c r="J19" s="52" cm="1">
        <f t="array" ref="J19">IFERROR(_xlfn.XLOOKUP(1,(Calculations!$B$3:$B$170=$A19)*(Calculations!$A$3:$A$170=J$17),Calculations!$F$3:$F$170),"")</f>
        <v>99.59</v>
      </c>
      <c r="K19" s="52" cm="1">
        <f t="array" ref="K19">IFERROR(_xlfn.XLOOKUP(1,(Calculations!$B$3:$B$170=$A19)*(Calculations!$A$3:$A$170=K$17),Calculations!$F$3:$F$170),"")</f>
        <v>104.59</v>
      </c>
      <c r="L19" s="52" cm="1">
        <f t="array" ref="L19">IFERROR(_xlfn.XLOOKUP(1,(Calculations!$B$3:$B$170=$A19)*(Calculations!$A$3:$A$170=L$17),Calculations!$F$3:$F$170),"")</f>
        <v>108.07</v>
      </c>
      <c r="M19" s="52" cm="1">
        <f t="array" ref="M19">IFERROR(_xlfn.XLOOKUP(1,(Calculations!$B$3:$B$170=$A19)*(Calculations!$A$3:$A$170=M$17),Calculations!$F$3:$F$170),"")</f>
        <v>136.56</v>
      </c>
      <c r="N19" s="52" cm="1">
        <f t="array" ref="N19">IFERROR(_xlfn.XLOOKUP(1,(Calculations!$B$3:$B$170=$A19)*(Calculations!$A$3:$A$170=N$17),Calculations!$F$3:$F$170),"")</f>
        <v>145.93</v>
      </c>
      <c r="O19" s="54" cm="1">
        <f t="array" ref="O19">IFERROR(_xlfn.XLOOKUP(1,(Calculations!$B$3:$B$170=$A19)*(Calculations!$A$3:$A$170=O$17),Calculations!$F$3:$F$170),"")</f>
        <v>57.24</v>
      </c>
      <c r="P19" s="55">
        <f t="shared" ref="P19:P29" si="4">IF(B19="","",SUM(B19:O19))</f>
        <v>1626.1599999999999</v>
      </c>
      <c r="Q19" s="52">
        <f t="shared" si="1"/>
        <v>116.15428571428571</v>
      </c>
    </row>
    <row r="20" spans="1:17" x14ac:dyDescent="0.25">
      <c r="A20" s="1" t="str">
        <f>IF('Raw Data'!P5="","",'Raw Data'!P5)</f>
        <v>Herbie's Honkers</v>
      </c>
      <c r="B20" s="52" cm="1">
        <f t="array" ref="B20">IFERROR(_xlfn.XLOOKUP(1,(Calculations!$B$3:$B$170=$A20)*(Calculations!$A$3:$A$170=B$17),Calculations!$F$3:$F$170),"")</f>
        <v>88.71</v>
      </c>
      <c r="C20" s="52" cm="1">
        <f t="array" ref="C20">IFERROR(_xlfn.XLOOKUP(1,(Calculations!$B$3:$B$170=$A20)*(Calculations!$A$3:$A$170=C$17),Calculations!$F$3:$F$170),"")</f>
        <v>119.32</v>
      </c>
      <c r="D20" s="52" cm="1">
        <f t="array" ref="D20">IFERROR(_xlfn.XLOOKUP(1,(Calculations!$B$3:$B$170=$A20)*(Calculations!$A$3:$A$170=D$17),Calculations!$F$3:$F$170),"")</f>
        <v>124.71</v>
      </c>
      <c r="E20" s="52" cm="1">
        <f t="array" ref="E20">IFERROR(_xlfn.XLOOKUP(1,(Calculations!$B$3:$B$170=$A20)*(Calculations!$A$3:$A$170=E$17),Calculations!$F$3:$F$170),"")</f>
        <v>154.99</v>
      </c>
      <c r="F20" s="52" cm="1">
        <f t="array" ref="F20">IFERROR(_xlfn.XLOOKUP(1,(Calculations!$B$3:$B$170=$A20)*(Calculations!$A$3:$A$170=F$17),Calculations!$F$3:$F$170),"")</f>
        <v>147.25</v>
      </c>
      <c r="G20" s="52" cm="1">
        <f t="array" ref="G20">IFERROR(_xlfn.XLOOKUP(1,(Calculations!$B$3:$B$170=$A20)*(Calculations!$A$3:$A$170=G$17),Calculations!$F$3:$F$170),"")</f>
        <v>123.2</v>
      </c>
      <c r="H20" s="52" cm="1">
        <f t="array" ref="H20">IFERROR(_xlfn.XLOOKUP(1,(Calculations!$B$3:$B$170=$A20)*(Calculations!$A$3:$A$170=H$17),Calculations!$F$3:$F$170),"")</f>
        <v>145.03</v>
      </c>
      <c r="I20" s="52" cm="1">
        <f t="array" ref="I20">IFERROR(_xlfn.XLOOKUP(1,(Calculations!$B$3:$B$170=$A20)*(Calculations!$A$3:$A$170=I$17),Calculations!$F$3:$F$170),"")</f>
        <v>156.52000000000001</v>
      </c>
      <c r="J20" s="52" cm="1">
        <f t="array" ref="J20">IFERROR(_xlfn.XLOOKUP(1,(Calculations!$B$3:$B$170=$A20)*(Calculations!$A$3:$A$170=J$17),Calculations!$F$3:$F$170),"")</f>
        <v>134.54</v>
      </c>
      <c r="K20" s="52" cm="1">
        <f t="array" ref="K20">IFERROR(_xlfn.XLOOKUP(1,(Calculations!$B$3:$B$170=$A20)*(Calculations!$A$3:$A$170=K$17),Calculations!$F$3:$F$170),"")</f>
        <v>104.5</v>
      </c>
      <c r="L20" s="52" cm="1">
        <f t="array" ref="L20">IFERROR(_xlfn.XLOOKUP(1,(Calculations!$B$3:$B$170=$A20)*(Calculations!$A$3:$A$170=L$17),Calculations!$F$3:$F$170),"")</f>
        <v>159.81</v>
      </c>
      <c r="M20" s="52" cm="1">
        <f t="array" ref="M20">IFERROR(_xlfn.XLOOKUP(1,(Calculations!$B$3:$B$170=$A20)*(Calculations!$A$3:$A$170=M$17),Calculations!$F$3:$F$170),"")</f>
        <v>107.76</v>
      </c>
      <c r="N20" s="52" cm="1">
        <f t="array" ref="N20">IFERROR(_xlfn.XLOOKUP(1,(Calculations!$B$3:$B$170=$A20)*(Calculations!$A$3:$A$170=N$17),Calculations!$F$3:$F$170),"")</f>
        <v>137.91</v>
      </c>
      <c r="O20" s="54" cm="1">
        <f t="array" ref="O20">IFERROR(_xlfn.XLOOKUP(1,(Calculations!$B$3:$B$170=$A20)*(Calculations!$A$3:$A$170=O$17),Calculations!$F$3:$F$170),"")</f>
        <v>123.09</v>
      </c>
      <c r="P20" s="55">
        <f t="shared" si="4"/>
        <v>1827.34</v>
      </c>
      <c r="Q20" s="52">
        <f t="shared" si="1"/>
        <v>130.5242857142857</v>
      </c>
    </row>
    <row r="21" spans="1:17" x14ac:dyDescent="0.25">
      <c r="A21" s="1" t="str">
        <f>IF('Raw Data'!P6="","",'Raw Data'!P6)</f>
        <v>Stupid Smartass Psycho</v>
      </c>
      <c r="B21" s="52" cm="1">
        <f t="array" ref="B21">IFERROR(_xlfn.XLOOKUP(1,(Calculations!$B$3:$B$170=$A21)*(Calculations!$A$3:$A$170=B$17),Calculations!$F$3:$F$170),"")</f>
        <v>91.75</v>
      </c>
      <c r="C21" s="52" cm="1">
        <f t="array" ref="C21">IFERROR(_xlfn.XLOOKUP(1,(Calculations!$B$3:$B$170=$A21)*(Calculations!$A$3:$A$170=C$17),Calculations!$F$3:$F$170),"")</f>
        <v>169.96</v>
      </c>
      <c r="D21" s="52" cm="1">
        <f t="array" ref="D21">IFERROR(_xlfn.XLOOKUP(1,(Calculations!$B$3:$B$170=$A21)*(Calculations!$A$3:$A$170=D$17),Calculations!$F$3:$F$170),"")</f>
        <v>151.75</v>
      </c>
      <c r="E21" s="52" cm="1">
        <f t="array" ref="E21">IFERROR(_xlfn.XLOOKUP(1,(Calculations!$B$3:$B$170=$A21)*(Calculations!$A$3:$A$170=E$17),Calculations!$F$3:$F$170),"")</f>
        <v>102.05</v>
      </c>
      <c r="F21" s="52" cm="1">
        <f t="array" ref="F21">IFERROR(_xlfn.XLOOKUP(1,(Calculations!$B$3:$B$170=$A21)*(Calculations!$A$3:$A$170=F$17),Calculations!$F$3:$F$170),"")</f>
        <v>96.33</v>
      </c>
      <c r="G21" s="52" cm="1">
        <f t="array" ref="G21">IFERROR(_xlfn.XLOOKUP(1,(Calculations!$B$3:$B$170=$A21)*(Calculations!$A$3:$A$170=G$17),Calculations!$F$3:$F$170),"")</f>
        <v>120.31</v>
      </c>
      <c r="H21" s="52" cm="1">
        <f t="array" ref="H21">IFERROR(_xlfn.XLOOKUP(1,(Calculations!$B$3:$B$170=$A21)*(Calculations!$A$3:$A$170=H$17),Calculations!$F$3:$F$170),"")</f>
        <v>131.51</v>
      </c>
      <c r="I21" s="52" cm="1">
        <f t="array" ref="I21">IFERROR(_xlfn.XLOOKUP(1,(Calculations!$B$3:$B$170=$A21)*(Calculations!$A$3:$A$170=I$17),Calculations!$F$3:$F$170),"")</f>
        <v>113.63</v>
      </c>
      <c r="J21" s="52" cm="1">
        <f t="array" ref="J21">IFERROR(_xlfn.XLOOKUP(1,(Calculations!$B$3:$B$170=$A21)*(Calculations!$A$3:$A$170=J$17),Calculations!$F$3:$F$170),"")</f>
        <v>113.27</v>
      </c>
      <c r="K21" s="52" cm="1">
        <f t="array" ref="K21">IFERROR(_xlfn.XLOOKUP(1,(Calculations!$B$3:$B$170=$A21)*(Calculations!$A$3:$A$170=K$17),Calculations!$F$3:$F$170),"")</f>
        <v>111.37</v>
      </c>
      <c r="L21" s="52" cm="1">
        <f t="array" ref="L21">IFERROR(_xlfn.XLOOKUP(1,(Calculations!$B$3:$B$170=$A21)*(Calculations!$A$3:$A$170=L$17),Calculations!$F$3:$F$170),"")</f>
        <v>106.59</v>
      </c>
      <c r="M21" s="52" cm="1">
        <f t="array" ref="M21">IFERROR(_xlfn.XLOOKUP(1,(Calculations!$B$3:$B$170=$A21)*(Calculations!$A$3:$A$170=M$17),Calculations!$F$3:$F$170),"")</f>
        <v>121.05</v>
      </c>
      <c r="N21" s="52" cm="1">
        <f t="array" ref="N21">IFERROR(_xlfn.XLOOKUP(1,(Calculations!$B$3:$B$170=$A21)*(Calculations!$A$3:$A$170=N$17),Calculations!$F$3:$F$170),"")</f>
        <v>116.24</v>
      </c>
      <c r="O21" s="54" cm="1">
        <f t="array" ref="O21">IFERROR(_xlfn.XLOOKUP(1,(Calculations!$B$3:$B$170=$A21)*(Calculations!$A$3:$A$170=O$17),Calculations!$F$3:$F$170),"")</f>
        <v>90.13</v>
      </c>
      <c r="P21" s="55">
        <f t="shared" si="4"/>
        <v>1635.94</v>
      </c>
      <c r="Q21" s="52">
        <f t="shared" si="1"/>
        <v>116.85285714285715</v>
      </c>
    </row>
    <row r="22" spans="1:17" x14ac:dyDescent="0.25">
      <c r="A22" s="1" t="str">
        <f>IF('Raw Data'!P8="","",'Raw Data'!P8)</f>
        <v>SqueakSqueakinSqueakSqueakity</v>
      </c>
      <c r="B22" s="52" cm="1">
        <f t="array" ref="B22">IFERROR(_xlfn.XLOOKUP(1,(Calculations!$B$3:$B$170=$A22)*(Calculations!$A$3:$A$170=B$17),Calculations!$F$3:$F$170),"")</f>
        <v>139.93</v>
      </c>
      <c r="C22" s="52" cm="1">
        <f t="array" ref="C22">IFERROR(_xlfn.XLOOKUP(1,(Calculations!$B$3:$B$170=$A22)*(Calculations!$A$3:$A$170=C$17),Calculations!$F$3:$F$170),"")</f>
        <v>138.27000000000001</v>
      </c>
      <c r="D22" s="52" cm="1">
        <f t="array" ref="D22">IFERROR(_xlfn.XLOOKUP(1,(Calculations!$B$3:$B$170=$A22)*(Calculations!$A$3:$A$170=D$17),Calculations!$F$3:$F$170),"")</f>
        <v>91.81</v>
      </c>
      <c r="E22" s="52" cm="1">
        <f t="array" ref="E22">IFERROR(_xlfn.XLOOKUP(1,(Calculations!$B$3:$B$170=$A22)*(Calculations!$A$3:$A$170=E$17),Calculations!$F$3:$F$170),"")</f>
        <v>133.71</v>
      </c>
      <c r="F22" s="52" cm="1">
        <f t="array" ref="F22">IFERROR(_xlfn.XLOOKUP(1,(Calculations!$B$3:$B$170=$A22)*(Calculations!$A$3:$A$170=F$17),Calculations!$F$3:$F$170),"")</f>
        <v>132.61000000000001</v>
      </c>
      <c r="G22" s="52" cm="1">
        <f t="array" ref="G22">IFERROR(_xlfn.XLOOKUP(1,(Calculations!$B$3:$B$170=$A22)*(Calculations!$A$3:$A$170=G$17),Calculations!$F$3:$F$170),"")</f>
        <v>93.09</v>
      </c>
      <c r="H22" s="52" cm="1">
        <f t="array" ref="H22">IFERROR(_xlfn.XLOOKUP(1,(Calculations!$B$3:$B$170=$A22)*(Calculations!$A$3:$A$170=H$17),Calculations!$F$3:$F$170),"")</f>
        <v>153.44999999999999</v>
      </c>
      <c r="I22" s="52" cm="1">
        <f t="array" ref="I22">IFERROR(_xlfn.XLOOKUP(1,(Calculations!$B$3:$B$170=$A22)*(Calculations!$A$3:$A$170=I$17),Calculations!$F$3:$F$170),"")</f>
        <v>94.13</v>
      </c>
      <c r="J22" s="52" cm="1">
        <f t="array" ref="J22">IFERROR(_xlfn.XLOOKUP(1,(Calculations!$B$3:$B$170=$A22)*(Calculations!$A$3:$A$170=J$17),Calculations!$F$3:$F$170),"")</f>
        <v>144.35</v>
      </c>
      <c r="K22" s="52" cm="1">
        <f t="array" ref="K22">IFERROR(_xlfn.XLOOKUP(1,(Calculations!$B$3:$B$170=$A22)*(Calculations!$A$3:$A$170=K$17),Calculations!$F$3:$F$170),"")</f>
        <v>135.47999999999999</v>
      </c>
      <c r="L22" s="52" cm="1">
        <f t="array" ref="L22">IFERROR(_xlfn.XLOOKUP(1,(Calculations!$B$3:$B$170=$A22)*(Calculations!$A$3:$A$170=L$17),Calculations!$F$3:$F$170),"")</f>
        <v>120.87</v>
      </c>
      <c r="M22" s="52" cm="1">
        <f t="array" ref="M22">IFERROR(_xlfn.XLOOKUP(1,(Calculations!$B$3:$B$170=$A22)*(Calculations!$A$3:$A$170=M$17),Calculations!$F$3:$F$170),"")</f>
        <v>127.95</v>
      </c>
      <c r="N22" s="52" cm="1">
        <f t="array" ref="N22">IFERROR(_xlfn.XLOOKUP(1,(Calculations!$B$3:$B$170=$A22)*(Calculations!$A$3:$A$170=N$17),Calculations!$F$3:$F$170),"")</f>
        <v>118.9</v>
      </c>
      <c r="O22" s="54" cm="1">
        <f t="array" ref="O22">IFERROR(_xlfn.XLOOKUP(1,(Calculations!$B$3:$B$170=$A22)*(Calculations!$A$3:$A$170=O$17),Calculations!$F$3:$F$170),"")</f>
        <v>117.93</v>
      </c>
      <c r="P22" s="55">
        <f t="shared" si="4"/>
        <v>1742.4800000000005</v>
      </c>
      <c r="Q22" s="52">
        <f t="shared" si="1"/>
        <v>124.46285714285717</v>
      </c>
    </row>
    <row r="23" spans="1:17" x14ac:dyDescent="0.25">
      <c r="A23" s="1" t="str">
        <f>IF('Raw Data'!P9="","",'Raw Data'!P9)</f>
        <v>We're all mad here</v>
      </c>
      <c r="B23" s="52" cm="1">
        <f t="array" ref="B23">IFERROR(_xlfn.XLOOKUP(1,(Calculations!$B$3:$B$170=$A23)*(Calculations!$A$3:$A$170=B$17),Calculations!$F$3:$F$170),"")</f>
        <v>113.23</v>
      </c>
      <c r="C23" s="52" cm="1">
        <f t="array" ref="C23">IFERROR(_xlfn.XLOOKUP(1,(Calculations!$B$3:$B$170=$A23)*(Calculations!$A$3:$A$170=C$17),Calculations!$F$3:$F$170),"")</f>
        <v>117.99</v>
      </c>
      <c r="D23" s="52" cm="1">
        <f t="array" ref="D23">IFERROR(_xlfn.XLOOKUP(1,(Calculations!$B$3:$B$170=$A23)*(Calculations!$A$3:$A$170=D$17),Calculations!$F$3:$F$170),"")</f>
        <v>114.99</v>
      </c>
      <c r="E23" s="52" cm="1">
        <f t="array" ref="E23">IFERROR(_xlfn.XLOOKUP(1,(Calculations!$B$3:$B$170=$A23)*(Calculations!$A$3:$A$170=E$17),Calculations!$F$3:$F$170),"")</f>
        <v>129.07</v>
      </c>
      <c r="F23" s="52" cm="1">
        <f t="array" ref="F23">IFERROR(_xlfn.XLOOKUP(1,(Calculations!$B$3:$B$170=$A23)*(Calculations!$A$3:$A$170=F$17),Calculations!$F$3:$F$170),"")</f>
        <v>163.29</v>
      </c>
      <c r="G23" s="52" cm="1">
        <f t="array" ref="G23">IFERROR(_xlfn.XLOOKUP(1,(Calculations!$B$3:$B$170=$A23)*(Calculations!$A$3:$A$170=G$17),Calculations!$F$3:$F$170),"")</f>
        <v>109.06</v>
      </c>
      <c r="H23" s="52" cm="1">
        <f t="array" ref="H23">IFERROR(_xlfn.XLOOKUP(1,(Calculations!$B$3:$B$170=$A23)*(Calculations!$A$3:$A$170=H$17),Calculations!$F$3:$F$170),"")</f>
        <v>159.75</v>
      </c>
      <c r="I23" s="52" cm="1">
        <f t="array" ref="I23">IFERROR(_xlfn.XLOOKUP(1,(Calculations!$B$3:$B$170=$A23)*(Calculations!$A$3:$A$170=I$17),Calculations!$F$3:$F$170),"")</f>
        <v>136.25</v>
      </c>
      <c r="J23" s="52" cm="1">
        <f t="array" ref="J23">IFERROR(_xlfn.XLOOKUP(1,(Calculations!$B$3:$B$170=$A23)*(Calculations!$A$3:$A$170=J$17),Calculations!$F$3:$F$170),"")</f>
        <v>118.1</v>
      </c>
      <c r="K23" s="52" cm="1">
        <f t="array" ref="K23">IFERROR(_xlfn.XLOOKUP(1,(Calculations!$B$3:$B$170=$A23)*(Calculations!$A$3:$A$170=K$17),Calculations!$F$3:$F$170),"")</f>
        <v>125.67</v>
      </c>
      <c r="L23" s="52" cm="1">
        <f t="array" ref="L23">IFERROR(_xlfn.XLOOKUP(1,(Calculations!$B$3:$B$170=$A23)*(Calculations!$A$3:$A$170=L$17),Calculations!$F$3:$F$170),"")</f>
        <v>119.39</v>
      </c>
      <c r="M23" s="52" cm="1">
        <f t="array" ref="M23">IFERROR(_xlfn.XLOOKUP(1,(Calculations!$B$3:$B$170=$A23)*(Calculations!$A$3:$A$170=M$17),Calculations!$F$3:$F$170),"")</f>
        <v>100.49</v>
      </c>
      <c r="N23" s="52" cm="1">
        <f t="array" ref="N23">IFERROR(_xlfn.XLOOKUP(1,(Calculations!$B$3:$B$170=$A23)*(Calculations!$A$3:$A$170=N$17),Calculations!$F$3:$F$170),"")</f>
        <v>100.22</v>
      </c>
      <c r="O23" s="54" cm="1">
        <f t="array" ref="O23">IFERROR(_xlfn.XLOOKUP(1,(Calculations!$B$3:$B$170=$A23)*(Calculations!$A$3:$A$170=O$17),Calculations!$F$3:$F$170),"")</f>
        <v>110.54</v>
      </c>
      <c r="P23" s="55">
        <f t="shared" si="4"/>
        <v>1718.04</v>
      </c>
      <c r="Q23" s="52">
        <f t="shared" si="1"/>
        <v>122.71714285714286</v>
      </c>
    </row>
    <row r="24" spans="1:17" x14ac:dyDescent="0.25">
      <c r="A24" s="1" t="str">
        <f>IF('Raw Data'!P10="","",'Raw Data'!P10)</f>
        <v>Tick Tock the Crocodile</v>
      </c>
      <c r="B24" s="52" cm="1">
        <f t="array" ref="B24">IFERROR(_xlfn.XLOOKUP(1,(Calculations!$B$3:$B$170=$A24)*(Calculations!$A$3:$A$170=B$17),Calculations!$F$3:$F$170),"")</f>
        <v>136.82</v>
      </c>
      <c r="C24" s="52" cm="1">
        <f t="array" ref="C24">IFERROR(_xlfn.XLOOKUP(1,(Calculations!$B$3:$B$170=$A24)*(Calculations!$A$3:$A$170=C$17),Calculations!$F$3:$F$170),"")</f>
        <v>100.77</v>
      </c>
      <c r="D24" s="52" cm="1">
        <f t="array" ref="D24">IFERROR(_xlfn.XLOOKUP(1,(Calculations!$B$3:$B$170=$A24)*(Calculations!$A$3:$A$170=D$17),Calculations!$F$3:$F$170),"")</f>
        <v>132.21</v>
      </c>
      <c r="E24" s="52" cm="1">
        <f t="array" ref="E24">IFERROR(_xlfn.XLOOKUP(1,(Calculations!$B$3:$B$170=$A24)*(Calculations!$A$3:$A$170=E$17),Calculations!$F$3:$F$170),"")</f>
        <v>146.76</v>
      </c>
      <c r="F24" s="52" cm="1">
        <f t="array" ref="F24">IFERROR(_xlfn.XLOOKUP(1,(Calculations!$B$3:$B$170=$A24)*(Calculations!$A$3:$A$170=F$17),Calculations!$F$3:$F$170),"")</f>
        <v>114.8</v>
      </c>
      <c r="G24" s="52" cm="1">
        <f t="array" ref="G24">IFERROR(_xlfn.XLOOKUP(1,(Calculations!$B$3:$B$170=$A24)*(Calculations!$A$3:$A$170=G$17),Calculations!$F$3:$F$170),"")</f>
        <v>126.31</v>
      </c>
      <c r="H24" s="52" cm="1">
        <f t="array" ref="H24">IFERROR(_xlfn.XLOOKUP(1,(Calculations!$B$3:$B$170=$A24)*(Calculations!$A$3:$A$170=H$17),Calculations!$F$3:$F$170),"")</f>
        <v>168.44</v>
      </c>
      <c r="I24" s="52" cm="1">
        <f t="array" ref="I24">IFERROR(_xlfn.XLOOKUP(1,(Calculations!$B$3:$B$170=$A24)*(Calculations!$A$3:$A$170=I$17),Calculations!$F$3:$F$170),"")</f>
        <v>100.16</v>
      </c>
      <c r="J24" s="52" cm="1">
        <f t="array" ref="J24">IFERROR(_xlfn.XLOOKUP(1,(Calculations!$B$3:$B$170=$A24)*(Calculations!$A$3:$A$170=J$17),Calculations!$F$3:$F$170),"")</f>
        <v>140.51</v>
      </c>
      <c r="K24" s="52" cm="1">
        <f t="array" ref="K24">IFERROR(_xlfn.XLOOKUP(1,(Calculations!$B$3:$B$170=$A24)*(Calculations!$A$3:$A$170=K$17),Calculations!$F$3:$F$170),"")</f>
        <v>125.63</v>
      </c>
      <c r="L24" s="52" cm="1">
        <f t="array" ref="L24">IFERROR(_xlfn.XLOOKUP(1,(Calculations!$B$3:$B$170=$A24)*(Calculations!$A$3:$A$170=L$17),Calculations!$F$3:$F$170),"")</f>
        <v>120.97</v>
      </c>
      <c r="M24" s="52" cm="1">
        <f t="array" ref="M24">IFERROR(_xlfn.XLOOKUP(1,(Calculations!$B$3:$B$170=$A24)*(Calculations!$A$3:$A$170=M$17),Calculations!$F$3:$F$170),"")</f>
        <v>103.93</v>
      </c>
      <c r="N24" s="52" cm="1">
        <f t="array" ref="N24">IFERROR(_xlfn.XLOOKUP(1,(Calculations!$B$3:$B$170=$A24)*(Calculations!$A$3:$A$170=N$17),Calculations!$F$3:$F$170),"")</f>
        <v>104.92</v>
      </c>
      <c r="O24" s="54" cm="1">
        <f t="array" ref="O24">IFERROR(_xlfn.XLOOKUP(1,(Calculations!$B$3:$B$170=$A24)*(Calculations!$A$3:$A$170=O$17),Calculations!$F$3:$F$170),"")</f>
        <v>161.16999999999999</v>
      </c>
      <c r="P24" s="55">
        <f t="shared" si="4"/>
        <v>1783.4</v>
      </c>
      <c r="Q24" s="52">
        <f t="shared" si="1"/>
        <v>127.38571428571429</v>
      </c>
    </row>
    <row r="25" spans="1:17" x14ac:dyDescent="0.25">
      <c r="A25" s="1" t="str">
        <f>IF('Raw Data'!P11="","",'Raw Data'!P11)</f>
        <v>Aladdin Jazerra</v>
      </c>
      <c r="B25" s="52" cm="1">
        <f t="array" ref="B25">IFERROR(_xlfn.XLOOKUP(1,(Calculations!$B$3:$B$170=$A25)*(Calculations!$A$3:$A$170=B$17),Calculations!$F$3:$F$170),"")</f>
        <v>107.42</v>
      </c>
      <c r="C25" s="52" cm="1">
        <f t="array" ref="C25">IFERROR(_xlfn.XLOOKUP(1,(Calculations!$B$3:$B$170=$A25)*(Calculations!$A$3:$A$170=C$17),Calculations!$F$3:$F$170),"")</f>
        <v>127.63</v>
      </c>
      <c r="D25" s="52" cm="1">
        <f t="array" ref="D25">IFERROR(_xlfn.XLOOKUP(1,(Calculations!$B$3:$B$170=$A25)*(Calculations!$A$3:$A$170=D$17),Calculations!$F$3:$F$170),"")</f>
        <v>117.22</v>
      </c>
      <c r="E25" s="52" cm="1">
        <f t="array" ref="E25">IFERROR(_xlfn.XLOOKUP(1,(Calculations!$B$3:$B$170=$A25)*(Calculations!$A$3:$A$170=E$17),Calculations!$F$3:$F$170),"")</f>
        <v>108.65</v>
      </c>
      <c r="F25" s="52" cm="1">
        <f t="array" ref="F25">IFERROR(_xlfn.XLOOKUP(1,(Calculations!$B$3:$B$170=$A25)*(Calculations!$A$3:$A$170=F$17),Calculations!$F$3:$F$170),"")</f>
        <v>126.21</v>
      </c>
      <c r="G25" s="52" cm="1">
        <f t="array" ref="G25">IFERROR(_xlfn.XLOOKUP(1,(Calculations!$B$3:$B$170=$A25)*(Calculations!$A$3:$A$170=G$17),Calculations!$F$3:$F$170),"")</f>
        <v>152.11000000000001</v>
      </c>
      <c r="H25" s="52" cm="1">
        <f t="array" ref="H25">IFERROR(_xlfn.XLOOKUP(1,(Calculations!$B$3:$B$170=$A25)*(Calculations!$A$3:$A$170=H$17),Calculations!$F$3:$F$170),"")</f>
        <v>79.88</v>
      </c>
      <c r="I25" s="52" cm="1">
        <f t="array" ref="I25">IFERROR(_xlfn.XLOOKUP(1,(Calculations!$B$3:$B$170=$A25)*(Calculations!$A$3:$A$170=I$17),Calculations!$F$3:$F$170),"")</f>
        <v>105.92</v>
      </c>
      <c r="J25" s="52" cm="1">
        <f t="array" ref="J25">IFERROR(_xlfn.XLOOKUP(1,(Calculations!$B$3:$B$170=$A25)*(Calculations!$A$3:$A$170=J$17),Calculations!$F$3:$F$170),"")</f>
        <v>152.22999999999999</v>
      </c>
      <c r="K25" s="52" cm="1">
        <f t="array" ref="K25">IFERROR(_xlfn.XLOOKUP(1,(Calculations!$B$3:$B$170=$A25)*(Calculations!$A$3:$A$170=K$17),Calculations!$F$3:$F$170),"")</f>
        <v>127.99</v>
      </c>
      <c r="L25" s="52" cm="1">
        <f t="array" ref="L25">IFERROR(_xlfn.XLOOKUP(1,(Calculations!$B$3:$B$170=$A25)*(Calculations!$A$3:$A$170=L$17),Calculations!$F$3:$F$170),"")</f>
        <v>81.55</v>
      </c>
      <c r="M25" s="52" cm="1">
        <f t="array" ref="M25">IFERROR(_xlfn.XLOOKUP(1,(Calculations!$B$3:$B$170=$A25)*(Calculations!$A$3:$A$170=M$17),Calculations!$F$3:$F$170),"")</f>
        <v>161.09</v>
      </c>
      <c r="N25" s="52" cm="1">
        <f t="array" ref="N25">IFERROR(_xlfn.XLOOKUP(1,(Calculations!$B$3:$B$170=$A25)*(Calculations!$A$3:$A$170=N$17),Calculations!$F$3:$F$170),"")</f>
        <v>126.66</v>
      </c>
      <c r="O25" s="54" cm="1">
        <f t="array" ref="O25">IFERROR(_xlfn.XLOOKUP(1,(Calculations!$B$3:$B$170=$A25)*(Calculations!$A$3:$A$170=O$17),Calculations!$F$3:$F$170),"")</f>
        <v>94.51</v>
      </c>
      <c r="P25" s="55">
        <f t="shared" si="4"/>
        <v>1669.07</v>
      </c>
      <c r="Q25" s="52">
        <f t="shared" si="1"/>
        <v>119.2192857142857</v>
      </c>
    </row>
    <row r="26" spans="1:17" x14ac:dyDescent="0.25">
      <c r="A26" s="1" t="str">
        <f>IF('Raw Data'!P13="","",'Raw Data'!P13)</f>
        <v>Prince Abooboo</v>
      </c>
      <c r="B26" s="52" cm="1">
        <f t="array" ref="B26">IFERROR(_xlfn.XLOOKUP(1,(Calculations!$B$3:$B$170=$A26)*(Calculations!$A$3:$A$170=B$17),Calculations!$F$3:$F$170),"")</f>
        <v>119.28</v>
      </c>
      <c r="C26" s="52" cm="1">
        <f t="array" ref="C26">IFERROR(_xlfn.XLOOKUP(1,(Calculations!$B$3:$B$170=$A26)*(Calculations!$A$3:$A$170=C$17),Calculations!$F$3:$F$170),"")</f>
        <v>144.37</v>
      </c>
      <c r="D26" s="52" cm="1">
        <f t="array" ref="D26">IFERROR(_xlfn.XLOOKUP(1,(Calculations!$B$3:$B$170=$A26)*(Calculations!$A$3:$A$170=D$17),Calculations!$F$3:$F$170),"")</f>
        <v>108.47</v>
      </c>
      <c r="E26" s="52" cm="1">
        <f t="array" ref="E26">IFERROR(_xlfn.XLOOKUP(1,(Calculations!$B$3:$B$170=$A26)*(Calculations!$A$3:$A$170=E$17),Calculations!$F$3:$F$170),"")</f>
        <v>129.44999999999999</v>
      </c>
      <c r="F26" s="52" cm="1">
        <f t="array" ref="F26">IFERROR(_xlfn.XLOOKUP(1,(Calculations!$B$3:$B$170=$A26)*(Calculations!$A$3:$A$170=F$17),Calculations!$F$3:$F$170),"")</f>
        <v>156.13</v>
      </c>
      <c r="G26" s="52" cm="1">
        <f t="array" ref="G26">IFERROR(_xlfn.XLOOKUP(1,(Calculations!$B$3:$B$170=$A26)*(Calculations!$A$3:$A$170=G$17),Calculations!$F$3:$F$170),"")</f>
        <v>130.22</v>
      </c>
      <c r="H26" s="52" cm="1">
        <f t="array" ref="H26">IFERROR(_xlfn.XLOOKUP(1,(Calculations!$B$3:$B$170=$A26)*(Calculations!$A$3:$A$170=H$17),Calculations!$F$3:$F$170),"")</f>
        <v>101.41</v>
      </c>
      <c r="I26" s="52" cm="1">
        <f t="array" ref="I26">IFERROR(_xlfn.XLOOKUP(1,(Calculations!$B$3:$B$170=$A26)*(Calculations!$A$3:$A$170=I$17),Calculations!$F$3:$F$170),"")</f>
        <v>164.22</v>
      </c>
      <c r="J26" s="52" cm="1">
        <f t="array" ref="J26">IFERROR(_xlfn.XLOOKUP(1,(Calculations!$B$3:$B$170=$A26)*(Calculations!$A$3:$A$170=J$17),Calculations!$F$3:$F$170),"")</f>
        <v>142.94</v>
      </c>
      <c r="K26" s="52" cm="1">
        <f t="array" ref="K26">IFERROR(_xlfn.XLOOKUP(1,(Calculations!$B$3:$B$170=$A26)*(Calculations!$A$3:$A$170=K$17),Calculations!$F$3:$F$170),"")</f>
        <v>124.8</v>
      </c>
      <c r="L26" s="52" cm="1">
        <f t="array" ref="L26">IFERROR(_xlfn.XLOOKUP(1,(Calculations!$B$3:$B$170=$A26)*(Calculations!$A$3:$A$170=L$17),Calculations!$F$3:$F$170),"")</f>
        <v>130.12</v>
      </c>
      <c r="M26" s="52" cm="1">
        <f t="array" ref="M26">IFERROR(_xlfn.XLOOKUP(1,(Calculations!$B$3:$B$170=$A26)*(Calculations!$A$3:$A$170=M$17),Calculations!$F$3:$F$170),"")</f>
        <v>108.73</v>
      </c>
      <c r="N26" s="52" cm="1">
        <f t="array" ref="N26">IFERROR(_xlfn.XLOOKUP(1,(Calculations!$B$3:$B$170=$A26)*(Calculations!$A$3:$A$170=N$17),Calculations!$F$3:$F$170),"")</f>
        <v>134.13999999999999</v>
      </c>
      <c r="O26" s="54" cm="1">
        <f t="array" ref="O26">IFERROR(_xlfn.XLOOKUP(1,(Calculations!$B$3:$B$170=$A26)*(Calculations!$A$3:$A$170=O$17),Calculations!$F$3:$F$170),"")</f>
        <v>127.76</v>
      </c>
      <c r="P26" s="55">
        <f t="shared" si="4"/>
        <v>1822.0399999999997</v>
      </c>
      <c r="Q26" s="52">
        <f t="shared" si="1"/>
        <v>130.14571428571426</v>
      </c>
    </row>
    <row r="27" spans="1:17" x14ac:dyDescent="0.25">
      <c r="A27" s="1" t="str">
        <f>IF('Raw Data'!P14="","",'Raw Data'!P14)</f>
        <v>Wrong Lever!</v>
      </c>
      <c r="B27" s="52" cm="1">
        <f t="array" ref="B27">IFERROR(_xlfn.XLOOKUP(1,(Calculations!$B$3:$B$170=$A27)*(Calculations!$A$3:$A$170=B$17),Calculations!$F$3:$F$170),"")</f>
        <v>144.62</v>
      </c>
      <c r="C27" s="52" cm="1">
        <f t="array" ref="C27">IFERROR(_xlfn.XLOOKUP(1,(Calculations!$B$3:$B$170=$A27)*(Calculations!$A$3:$A$170=C$17),Calculations!$F$3:$F$170),"")</f>
        <v>111.21</v>
      </c>
      <c r="D27" s="52" cm="1">
        <f t="array" ref="D27">IFERROR(_xlfn.XLOOKUP(1,(Calculations!$B$3:$B$170=$A27)*(Calculations!$A$3:$A$170=D$17),Calculations!$F$3:$F$170),"")</f>
        <v>121.96</v>
      </c>
      <c r="E27" s="52" cm="1">
        <f t="array" ref="E27">IFERROR(_xlfn.XLOOKUP(1,(Calculations!$B$3:$B$170=$A27)*(Calculations!$A$3:$A$170=E$17),Calculations!$F$3:$F$170),"")</f>
        <v>99.91</v>
      </c>
      <c r="F27" s="52" cm="1">
        <f t="array" ref="F27">IFERROR(_xlfn.XLOOKUP(1,(Calculations!$B$3:$B$170=$A27)*(Calculations!$A$3:$A$170=F$17),Calculations!$F$3:$F$170),"")</f>
        <v>146.94999999999999</v>
      </c>
      <c r="G27" s="52" cm="1">
        <f t="array" ref="G27">IFERROR(_xlfn.XLOOKUP(1,(Calculations!$B$3:$B$170=$A27)*(Calculations!$A$3:$A$170=G$17),Calculations!$F$3:$F$170),"")</f>
        <v>123</v>
      </c>
      <c r="H27" s="52" cm="1">
        <f t="array" ref="H27">IFERROR(_xlfn.XLOOKUP(1,(Calculations!$B$3:$B$170=$A27)*(Calculations!$A$3:$A$170=H$17),Calculations!$F$3:$F$170),"")</f>
        <v>114.55</v>
      </c>
      <c r="I27" s="52" cm="1">
        <f t="array" ref="I27">IFERROR(_xlfn.XLOOKUP(1,(Calculations!$B$3:$B$170=$A27)*(Calculations!$A$3:$A$170=I$17),Calculations!$F$3:$F$170),"")</f>
        <v>123.68</v>
      </c>
      <c r="J27" s="52" cm="1">
        <f t="array" ref="J27">IFERROR(_xlfn.XLOOKUP(1,(Calculations!$B$3:$B$170=$A27)*(Calculations!$A$3:$A$170=J$17),Calculations!$F$3:$F$170),"")</f>
        <v>113.3</v>
      </c>
      <c r="K27" s="52" cm="1">
        <f t="array" ref="K27">IFERROR(_xlfn.XLOOKUP(1,(Calculations!$B$3:$B$170=$A27)*(Calculations!$A$3:$A$170=K$17),Calculations!$F$3:$F$170),"")</f>
        <v>145.30000000000001</v>
      </c>
      <c r="L27" s="52" cm="1">
        <f t="array" ref="L27">IFERROR(_xlfn.XLOOKUP(1,(Calculations!$B$3:$B$170=$A27)*(Calculations!$A$3:$A$170=L$17),Calculations!$F$3:$F$170),"")</f>
        <v>109.27</v>
      </c>
      <c r="M27" s="52" cm="1">
        <f t="array" ref="M27">IFERROR(_xlfn.XLOOKUP(1,(Calculations!$B$3:$B$170=$A27)*(Calculations!$A$3:$A$170=M$17),Calculations!$F$3:$F$170),"")</f>
        <v>122.31</v>
      </c>
      <c r="N27" s="52" cm="1">
        <f t="array" ref="N27">IFERROR(_xlfn.XLOOKUP(1,(Calculations!$B$3:$B$170=$A27)*(Calculations!$A$3:$A$170=N$17),Calculations!$F$3:$F$170),"")</f>
        <v>98.45</v>
      </c>
      <c r="O27" s="54" cm="1">
        <f t="array" ref="O27">IFERROR(_xlfn.XLOOKUP(1,(Calculations!$B$3:$B$170=$A27)*(Calculations!$A$3:$A$170=O$17),Calculations!$F$3:$F$170),"")</f>
        <v>160.19999999999999</v>
      </c>
      <c r="P27" s="55">
        <f t="shared" si="4"/>
        <v>1734.7099999999998</v>
      </c>
      <c r="Q27" s="52">
        <f t="shared" si="1"/>
        <v>123.90785714285713</v>
      </c>
    </row>
    <row r="28" spans="1:17" x14ac:dyDescent="0.25">
      <c r="A28" s="1" t="str">
        <f>IF('Raw Data'!P15="","",'Raw Data'!P15)</f>
        <v>5 Dozen Eggs by Gaston</v>
      </c>
      <c r="B28" s="52" cm="1">
        <f t="array" ref="B28">IFERROR(_xlfn.XLOOKUP(1,(Calculations!$B$3:$B$170=$A28)*(Calculations!$A$3:$A$170=B$17),Calculations!$F$3:$F$170),"")</f>
        <v>82.97</v>
      </c>
      <c r="C28" s="52" cm="1">
        <f t="array" ref="C28">IFERROR(_xlfn.XLOOKUP(1,(Calculations!$B$3:$B$170=$A28)*(Calculations!$A$3:$A$170=C$17),Calculations!$F$3:$F$170),"")</f>
        <v>116.04</v>
      </c>
      <c r="D28" s="52" cm="1">
        <f t="array" ref="D28">IFERROR(_xlfn.XLOOKUP(1,(Calculations!$B$3:$B$170=$A28)*(Calculations!$A$3:$A$170=D$17),Calculations!$F$3:$F$170),"")</f>
        <v>142.05000000000001</v>
      </c>
      <c r="E28" s="52" cm="1">
        <f t="array" ref="E28">IFERROR(_xlfn.XLOOKUP(1,(Calculations!$B$3:$B$170=$A28)*(Calculations!$A$3:$A$170=E$17),Calculations!$F$3:$F$170),"")</f>
        <v>149.13999999999999</v>
      </c>
      <c r="F28" s="52" cm="1">
        <f t="array" ref="F28">IFERROR(_xlfn.XLOOKUP(1,(Calculations!$B$3:$B$170=$A28)*(Calculations!$A$3:$A$170=F$17),Calculations!$F$3:$F$170),"")</f>
        <v>137.22</v>
      </c>
      <c r="G28" s="52" cm="1">
        <f t="array" ref="G28">IFERROR(_xlfn.XLOOKUP(1,(Calculations!$B$3:$B$170=$A28)*(Calculations!$A$3:$A$170=G$17),Calculations!$F$3:$F$170),"")</f>
        <v>102.73</v>
      </c>
      <c r="H28" s="52" cm="1">
        <f t="array" ref="H28">IFERROR(_xlfn.XLOOKUP(1,(Calculations!$B$3:$B$170=$A28)*(Calculations!$A$3:$A$170=H$17),Calculations!$F$3:$F$170),"")</f>
        <v>156.84</v>
      </c>
      <c r="I28" s="52" cm="1">
        <f t="array" ref="I28">IFERROR(_xlfn.XLOOKUP(1,(Calculations!$B$3:$B$170=$A28)*(Calculations!$A$3:$A$170=I$17),Calculations!$F$3:$F$170),"")</f>
        <v>108.92</v>
      </c>
      <c r="J28" s="52" cm="1">
        <f t="array" ref="J28">IFERROR(_xlfn.XLOOKUP(1,(Calculations!$B$3:$B$170=$A28)*(Calculations!$A$3:$A$170=J$17),Calculations!$F$3:$F$170),"")</f>
        <v>149.04</v>
      </c>
      <c r="K28" s="52" cm="1">
        <f t="array" ref="K28">IFERROR(_xlfn.XLOOKUP(1,(Calculations!$B$3:$B$170=$A28)*(Calculations!$A$3:$A$170=K$17),Calculations!$F$3:$F$170),"")</f>
        <v>162.53</v>
      </c>
      <c r="L28" s="52" cm="1">
        <f t="array" ref="L28">IFERROR(_xlfn.XLOOKUP(1,(Calculations!$B$3:$B$170=$A28)*(Calculations!$A$3:$A$170=L$17),Calculations!$F$3:$F$170),"")</f>
        <v>136.69</v>
      </c>
      <c r="M28" s="52" cm="1">
        <f t="array" ref="M28">IFERROR(_xlfn.XLOOKUP(1,(Calculations!$B$3:$B$170=$A28)*(Calculations!$A$3:$A$170=M$17),Calculations!$F$3:$F$170),"")</f>
        <v>138.38999999999999</v>
      </c>
      <c r="N28" s="52" cm="1">
        <f t="array" ref="N28">IFERROR(_xlfn.XLOOKUP(1,(Calculations!$B$3:$B$170=$A28)*(Calculations!$A$3:$A$170=N$17),Calculations!$F$3:$F$170),"")</f>
        <v>123.1</v>
      </c>
      <c r="O28" s="54" cm="1">
        <f t="array" ref="O28">IFERROR(_xlfn.XLOOKUP(1,(Calculations!$B$3:$B$170=$A28)*(Calculations!$A$3:$A$170=O$17),Calculations!$F$3:$F$170),"")</f>
        <v>89.05</v>
      </c>
      <c r="P28" s="55">
        <f t="shared" si="4"/>
        <v>1794.7099999999998</v>
      </c>
      <c r="Q28" s="52">
        <f t="shared" si="1"/>
        <v>128.1935714285714</v>
      </c>
    </row>
    <row r="29" spans="1:17" x14ac:dyDescent="0.25">
      <c r="A29" s="1" t="str">
        <f>IF('Raw Data'!P16="","",'Raw Data'!P16)</f>
        <v>The Rescuers vs Medusa</v>
      </c>
      <c r="B29" s="52" cm="1">
        <f t="array" ref="B29">IFERROR(_xlfn.XLOOKUP(1,(Calculations!$B$3:$B$170=$A29)*(Calculations!$A$3:$A$170=B$17),Calculations!$F$3:$F$170),"")</f>
        <v>124.89</v>
      </c>
      <c r="C29" s="52" cm="1">
        <f t="array" ref="C29">IFERROR(_xlfn.XLOOKUP(1,(Calculations!$B$3:$B$170=$A29)*(Calculations!$A$3:$A$170=C$17),Calculations!$F$3:$F$170),"")</f>
        <v>113.2</v>
      </c>
      <c r="D29" s="52" cm="1">
        <f t="array" ref="D29">IFERROR(_xlfn.XLOOKUP(1,(Calculations!$B$3:$B$170=$A29)*(Calculations!$A$3:$A$170=D$17),Calculations!$F$3:$F$170),"")</f>
        <v>137.16999999999999</v>
      </c>
      <c r="E29" s="52" cm="1">
        <f t="array" ref="E29">IFERROR(_xlfn.XLOOKUP(1,(Calculations!$B$3:$B$170=$A29)*(Calculations!$A$3:$A$170=E$17),Calculations!$F$3:$F$170),"")</f>
        <v>106.53</v>
      </c>
      <c r="F29" s="52" cm="1">
        <f t="array" ref="F29">IFERROR(_xlfn.XLOOKUP(1,(Calculations!$B$3:$B$170=$A29)*(Calculations!$A$3:$A$170=F$17),Calculations!$F$3:$F$170),"")</f>
        <v>160.69</v>
      </c>
      <c r="G29" s="52" cm="1">
        <f t="array" ref="G29">IFERROR(_xlfn.XLOOKUP(1,(Calculations!$B$3:$B$170=$A29)*(Calculations!$A$3:$A$170=G$17),Calculations!$F$3:$F$170),"")</f>
        <v>131.5</v>
      </c>
      <c r="H29" s="52" cm="1">
        <f t="array" ref="H29">IFERROR(_xlfn.XLOOKUP(1,(Calculations!$B$3:$B$170=$A29)*(Calculations!$A$3:$A$170=H$17),Calculations!$F$3:$F$170),"")</f>
        <v>113.75</v>
      </c>
      <c r="I29" s="52" cm="1">
        <f t="array" ref="I29">IFERROR(_xlfn.XLOOKUP(1,(Calculations!$B$3:$B$170=$A29)*(Calculations!$A$3:$A$170=I$17),Calculations!$F$3:$F$170),"")</f>
        <v>114.98</v>
      </c>
      <c r="J29" s="52" cm="1">
        <f t="array" ref="J29">IFERROR(_xlfn.XLOOKUP(1,(Calculations!$B$3:$B$170=$A29)*(Calculations!$A$3:$A$170=J$17),Calculations!$F$3:$F$170),"")</f>
        <v>122.26</v>
      </c>
      <c r="K29" s="52" cm="1">
        <f t="array" ref="K29">IFERROR(_xlfn.XLOOKUP(1,(Calculations!$B$3:$B$170=$A29)*(Calculations!$A$3:$A$170=K$17),Calculations!$F$3:$F$170),"")</f>
        <v>142.32</v>
      </c>
      <c r="L29" s="52" cm="1">
        <f t="array" ref="L29">IFERROR(_xlfn.XLOOKUP(1,(Calculations!$B$3:$B$170=$A29)*(Calculations!$A$3:$A$170=L$17),Calculations!$F$3:$F$170),"")</f>
        <v>87.7</v>
      </c>
      <c r="M29" s="52" cm="1">
        <f t="array" ref="M29">IFERROR(_xlfn.XLOOKUP(1,(Calculations!$B$3:$B$170=$A29)*(Calculations!$A$3:$A$170=M$17),Calculations!$F$3:$F$170),"")</f>
        <v>142.72999999999999</v>
      </c>
      <c r="N29" s="52" cm="1">
        <f t="array" ref="N29">IFERROR(_xlfn.XLOOKUP(1,(Calculations!$B$3:$B$170=$A29)*(Calculations!$A$3:$A$170=N$17),Calculations!$F$3:$F$170),"")</f>
        <v>113.97</v>
      </c>
      <c r="O29" s="54" cm="1">
        <f t="array" ref="O29">IFERROR(_xlfn.XLOOKUP(1,(Calculations!$B$3:$B$170=$A29)*(Calculations!$A$3:$A$170=O$17),Calculations!$F$3:$F$170),"")</f>
        <v>100.66</v>
      </c>
      <c r="P29" s="55">
        <f t="shared" si="4"/>
        <v>1712.3500000000001</v>
      </c>
      <c r="Q29" s="52">
        <f t="shared" si="1"/>
        <v>122.3107142857143</v>
      </c>
    </row>
    <row r="30" spans="1:17" x14ac:dyDescent="0.25">
      <c r="A30" s="1"/>
    </row>
    <row r="31" spans="1:17" x14ac:dyDescent="0.25">
      <c r="A31" s="1"/>
    </row>
    <row r="32" spans="1:17" x14ac:dyDescent="0.25">
      <c r="A32" s="1"/>
    </row>
  </sheetData>
  <mergeCells count="2">
    <mergeCell ref="B1:S1"/>
    <mergeCell ref="B16:Q16"/>
  </mergeCells>
  <conditionalFormatting sqref="B3:B14">
    <cfRule type="top10" dxfId="31" priority="27" bottom="1" rank="1"/>
    <cfRule type="top10" dxfId="30" priority="30" rank="1"/>
  </conditionalFormatting>
  <conditionalFormatting sqref="C3:C14">
    <cfRule type="top10" dxfId="29" priority="25" bottom="1" rank="1"/>
    <cfRule type="top10" dxfId="28" priority="26" rank="1"/>
  </conditionalFormatting>
  <conditionalFormatting sqref="D3:D14">
    <cfRule type="top10" dxfId="27" priority="23" bottom="1" rank="1"/>
    <cfRule type="top10" dxfId="26" priority="24" rank="1"/>
  </conditionalFormatting>
  <conditionalFormatting sqref="E3:E14">
    <cfRule type="top10" dxfId="25" priority="21" bottom="1" rank="1"/>
    <cfRule type="top10" dxfId="24" priority="22" rank="1"/>
  </conditionalFormatting>
  <conditionalFormatting sqref="F3:F14">
    <cfRule type="top10" dxfId="23" priority="19" bottom="1" rank="1"/>
    <cfRule type="top10" dxfId="22" priority="20" rank="1"/>
  </conditionalFormatting>
  <conditionalFormatting sqref="G3:G14">
    <cfRule type="top10" dxfId="21" priority="17" bottom="1" rank="1"/>
    <cfRule type="top10" dxfId="20" priority="18" rank="1"/>
  </conditionalFormatting>
  <conditionalFormatting sqref="H3:H14">
    <cfRule type="top10" dxfId="19" priority="15" bottom="1" rank="1"/>
    <cfRule type="top10" dxfId="18" priority="16" rank="1"/>
  </conditionalFormatting>
  <conditionalFormatting sqref="I3:I14">
    <cfRule type="top10" dxfId="17" priority="13" bottom="1" rank="1"/>
    <cfRule type="top10" dxfId="16" priority="14" rank="1"/>
  </conditionalFormatting>
  <conditionalFormatting sqref="J3:J14">
    <cfRule type="top10" dxfId="15" priority="11" bottom="1" rank="1"/>
    <cfRule type="top10" dxfId="14" priority="12" rank="1"/>
  </conditionalFormatting>
  <conditionalFormatting sqref="K3:K14">
    <cfRule type="top10" dxfId="13" priority="9" bottom="1" rank="1"/>
    <cfRule type="top10" dxfId="12" priority="10" rank="1"/>
  </conditionalFormatting>
  <conditionalFormatting sqref="L3:L14">
    <cfRule type="top10" dxfId="11" priority="7" bottom="1" rank="1"/>
    <cfRule type="top10" dxfId="10" priority="8" rank="1"/>
  </conditionalFormatting>
  <conditionalFormatting sqref="M3:M14">
    <cfRule type="top10" dxfId="9" priority="5" bottom="1" rank="1"/>
    <cfRule type="top10" dxfId="8" priority="6" rank="1"/>
  </conditionalFormatting>
  <conditionalFormatting sqref="N3:N14">
    <cfRule type="top10" dxfId="7" priority="3" bottom="1" rank="1"/>
    <cfRule type="top10" dxfId="6" priority="4" rank="1"/>
  </conditionalFormatting>
  <conditionalFormatting sqref="O3:O14">
    <cfRule type="top10" dxfId="5" priority="1" bottom="1" rank="1"/>
    <cfRule type="top10" dxfId="4" priority="2" rank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04038-509D-4377-8CD0-A2FC97E83456}">
  <sheetPr>
    <tabColor rgb="FF00B050"/>
  </sheetPr>
  <dimension ref="B2:P6"/>
  <sheetViews>
    <sheetView showGridLines="0" workbookViewId="0">
      <selection activeCell="U14" sqref="U14"/>
    </sheetView>
  </sheetViews>
  <sheetFormatPr defaultRowHeight="15" x14ac:dyDescent="0.25"/>
  <cols>
    <col min="2" max="2" width="34.85546875" bestFit="1" customWidth="1"/>
  </cols>
  <sheetData>
    <row r="2" spans="2:16" ht="15.75" x14ac:dyDescent="0.25">
      <c r="B2" s="82" t="s">
        <v>107</v>
      </c>
    </row>
    <row r="4" spans="2:16" x14ac:dyDescent="0.25">
      <c r="C4" s="4">
        <v>1</v>
      </c>
      <c r="D4" s="4">
        <v>2</v>
      </c>
      <c r="E4" s="4">
        <v>3</v>
      </c>
      <c r="F4" s="4">
        <v>4</v>
      </c>
      <c r="G4" s="4">
        <v>5</v>
      </c>
      <c r="H4" s="4">
        <v>6</v>
      </c>
      <c r="I4" s="4">
        <v>7</v>
      </c>
      <c r="J4" s="4">
        <v>8</v>
      </c>
      <c r="K4" s="4">
        <v>9</v>
      </c>
      <c r="L4" s="4">
        <v>10</v>
      </c>
      <c r="M4" s="4">
        <v>11</v>
      </c>
      <c r="N4" s="4">
        <v>12</v>
      </c>
      <c r="O4" s="4">
        <v>13</v>
      </c>
      <c r="P4" s="4">
        <v>14</v>
      </c>
    </row>
    <row r="5" spans="2:16" x14ac:dyDescent="0.25">
      <c r="B5" s="83" t="s">
        <v>93</v>
      </c>
      <c r="C5" s="84">
        <f>IFERROR(VLOOKUP($B$2,'Weekly Pts'!$A$3:$O$14,2,FALSE),"")</f>
        <v>124.89</v>
      </c>
      <c r="D5" s="84">
        <f>IFERROR(VLOOKUP($B$2,'Weekly Pts'!$A$3:$O$14,3,FALSE),"")</f>
        <v>117.99</v>
      </c>
      <c r="E5" s="84">
        <f>IFERROR(VLOOKUP($B$2,'Weekly Pts'!$A$3:$O$14,4,FALSE),"")</f>
        <v>117.22</v>
      </c>
      <c r="F5" s="84">
        <f>IFERROR(VLOOKUP($B$2,'Weekly Pts'!$A$3:$O$14,5,FALSE),"")</f>
        <v>146.76</v>
      </c>
      <c r="G5" s="84">
        <f>IFERROR(VLOOKUP($B$2,'Weekly Pts'!$A$3:$O$14,6,FALSE),"")</f>
        <v>137.22</v>
      </c>
      <c r="H5" s="84">
        <f>IFERROR(VLOOKUP($B$2,'Weekly Pts'!$A$3:$O$14,7,FALSE),"")</f>
        <v>123</v>
      </c>
      <c r="I5" s="84">
        <f>IFERROR(VLOOKUP($B$2,'Weekly Pts'!$A$3:$O$14,8,FALSE),"")</f>
        <v>111.53</v>
      </c>
      <c r="J5" s="84">
        <f>IFERROR(VLOOKUP($B$2,'Weekly Pts'!$A$3:$O$14,9,FALSE),"")</f>
        <v>156.52000000000001</v>
      </c>
      <c r="K5" s="84">
        <f>IFERROR(VLOOKUP($B$2,'Weekly Pts'!$A$3:$O$14,10,FALSE),"")</f>
        <v>142.94</v>
      </c>
      <c r="L5" s="84">
        <f>IFERROR(VLOOKUP($B$2,'Weekly Pts'!$A$3:$O$14,11,FALSE),"")</f>
        <v>111.37</v>
      </c>
      <c r="M5" s="84">
        <f>IFERROR(VLOOKUP($B$2,'Weekly Pts'!$A$3:$O$14,12,FALSE),"")</f>
        <v>142.21</v>
      </c>
      <c r="N5" s="84">
        <f>IFERROR(VLOOKUP($B$2,'Weekly Pts'!$A$3:$O$14,13,FALSE),"")</f>
        <v>161.09</v>
      </c>
      <c r="O5" s="84">
        <f>IFERROR(VLOOKUP($B$2,'Weekly Pts'!$A$3:$O$14,14,FALSE),"")</f>
        <v>100.22</v>
      </c>
      <c r="P5" s="84">
        <f>IFERROR(VLOOKUP($B$2,'Weekly Pts'!$A$3:$O$14,15,FALSE),"")</f>
        <v>161.16999999999999</v>
      </c>
    </row>
    <row r="6" spans="2:16" x14ac:dyDescent="0.25">
      <c r="B6" s="83" t="s">
        <v>94</v>
      </c>
      <c r="C6" s="84">
        <f>IFERROR(LARGE('Weekly Pts'!B3:B14,6),"")</f>
        <v>119.28</v>
      </c>
      <c r="D6" s="84">
        <f>IFERROR(LARGE('Weekly Pts'!C3:C14,6),"")</f>
        <v>119.32</v>
      </c>
      <c r="E6" s="84">
        <f>IFERROR(LARGE('Weekly Pts'!D3:D14,6),"")</f>
        <v>121.96</v>
      </c>
      <c r="F6" s="84">
        <f>IFERROR(LARGE('Weekly Pts'!E3:E14,6),"")</f>
        <v>129.44999999999999</v>
      </c>
      <c r="G6" s="84">
        <f>IFERROR(LARGE('Weekly Pts'!F3:F14,6),"")</f>
        <v>137.22</v>
      </c>
      <c r="H6" s="84">
        <f>IFERROR(LARGE('Weekly Pts'!G3:G14,6),"")</f>
        <v>123</v>
      </c>
      <c r="I6" s="84">
        <f>IFERROR(LARGE('Weekly Pts'!H3:H14,6),"")</f>
        <v>145.03</v>
      </c>
      <c r="J6" s="84">
        <f>IFERROR(LARGE('Weekly Pts'!I3:I14,6),"")</f>
        <v>122.9</v>
      </c>
      <c r="K6" s="84">
        <f>IFERROR(LARGE('Weekly Pts'!J3:J14,6),"")</f>
        <v>134.54</v>
      </c>
      <c r="L6" s="84">
        <f>IFERROR(LARGE('Weekly Pts'!K3:K14,6),"")</f>
        <v>125.67</v>
      </c>
      <c r="M6" s="84">
        <f>IFERROR(LARGE('Weekly Pts'!L3:L14,6),"")</f>
        <v>120.87</v>
      </c>
      <c r="N6" s="84">
        <f>IFERROR(LARGE('Weekly Pts'!M3:M14,6),"")</f>
        <v>122.31</v>
      </c>
      <c r="O6" s="84">
        <f>IFERROR(LARGE('Weekly Pts'!N3:N14,6),"")</f>
        <v>118.9</v>
      </c>
      <c r="P6" s="84">
        <f>IFERROR(LARGE('Weekly Pts'!O3:O14,6),"")</f>
        <v>117.93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695097E-1E89-4574-93CF-623269965FFC}">
          <x14:formula1>
            <xm:f>Calculations!$Q$3:$Q$14</xm:f>
          </x14:formula1>
          <xm:sqref>B2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7661D-75E1-46E9-88D6-5CA104DBE3F7}">
  <sheetPr>
    <tabColor theme="6"/>
  </sheetPr>
  <dimension ref="A1:O31"/>
  <sheetViews>
    <sheetView showGridLines="0" workbookViewId="0">
      <selection activeCell="U24" sqref="U24"/>
    </sheetView>
  </sheetViews>
  <sheetFormatPr defaultRowHeight="15" x14ac:dyDescent="0.25"/>
  <cols>
    <col min="1" max="1" width="32.28515625" style="1" bestFit="1" customWidth="1"/>
    <col min="2" max="15" width="9.140625" style="2"/>
  </cols>
  <sheetData>
    <row r="1" spans="1:15" ht="20.25" thickBot="1" x14ac:dyDescent="0.35">
      <c r="B1" s="100" t="s">
        <v>37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</row>
    <row r="2" spans="1:15" ht="15.75" thickTop="1" x14ac:dyDescent="0.25">
      <c r="B2" s="4">
        <v>1</v>
      </c>
      <c r="C2" s="4">
        <v>2</v>
      </c>
      <c r="D2" s="4">
        <v>3</v>
      </c>
      <c r="E2" s="4">
        <v>4</v>
      </c>
      <c r="F2" s="4">
        <v>5</v>
      </c>
      <c r="G2" s="4">
        <v>6</v>
      </c>
      <c r="H2" s="4">
        <v>7</v>
      </c>
      <c r="I2" s="4">
        <v>8</v>
      </c>
      <c r="J2" s="4">
        <v>9</v>
      </c>
      <c r="K2" s="4">
        <v>10</v>
      </c>
      <c r="L2" s="4">
        <v>11</v>
      </c>
      <c r="M2" s="4">
        <v>12</v>
      </c>
      <c r="N2" s="4">
        <v>13</v>
      </c>
      <c r="O2" s="4">
        <v>14</v>
      </c>
    </row>
    <row r="3" spans="1:15" x14ac:dyDescent="0.25">
      <c r="A3" s="1" t="str">
        <f>IF('Raw Data'!P3="","",'Raw Data'!P3)</f>
        <v>Jafar</v>
      </c>
      <c r="B3" s="56">
        <f ca="1">IF(_xlfn.XLOOKUP($A3,Calculations!$X$3:$X$14,Calculations!$Y$3:$Y$14)="",NA(),_xlfn.XLOOKUP($A3,Calculations!$X$3:$X$14,Calculations!$Y$3:$Y$14))</f>
        <v>7</v>
      </c>
      <c r="C3" s="56">
        <f ca="1">IF(_xlfn.XLOOKUP($A3,Calculations!$X$3:$X$14,Calculations!$AB$3:$AB$14)="",NA(),_xlfn.XLOOKUP($A3,Calculations!$X$3:$X$14,Calculations!$AB$3:$AB$14))</f>
        <v>2</v>
      </c>
      <c r="D3" s="56">
        <f ca="1">IF(_xlfn.XLOOKUP($A3,Calculations!$X$3:$X$14,Calculations!$AE$3:$AE$14)="",NA(),_xlfn.XLOOKUP($A3,Calculations!$X$3:$X$14,Calculations!$AE$3:$AE$14))</f>
        <v>3</v>
      </c>
      <c r="E3" s="56">
        <f ca="1">IF(_xlfn.XLOOKUP($A3,Calculations!$X$3:$X$14,Calculations!$AH$3:$AH$14)="",NA(),_xlfn.XLOOKUP($A3,Calculations!$X$3:$X$14,Calculations!$AH$3:$AH$14))</f>
        <v>1</v>
      </c>
      <c r="F3" s="56">
        <f ca="1">IF(_xlfn.XLOOKUP($A3,Calculations!$X$3:$X$14,Calculations!$AK$3:$AK$14)="",NA(),_xlfn.XLOOKUP($A3,Calculations!$X$3:$X$14,Calculations!$AK$3:$AK$14))</f>
        <v>1</v>
      </c>
      <c r="G3" s="56">
        <f ca="1">IF(_xlfn.XLOOKUP($A3,Calculations!$X$3:$X$14,Calculations!$AN$3:$AN$14)="",NA(),_xlfn.XLOOKUP($A3,Calculations!$X$3:$X$14,Calculations!$AN$3:$AN$14))</f>
        <v>1</v>
      </c>
      <c r="H3" s="56">
        <f ca="1">IF(_xlfn.XLOOKUP($A3,Calculations!$X$3:$X$14,Calculations!$AQ$3:$AQ$14)="",NA(),_xlfn.XLOOKUP($A3,Calculations!$X$3:$X$14,Calculations!$AQ$3:$AQ$14))</f>
        <v>1</v>
      </c>
      <c r="I3" s="56">
        <f ca="1">IF(_xlfn.XLOOKUP($A3,Calculations!$X$3:$X$14,Calculations!$AT$3:$AT$14)="",NA(),_xlfn.XLOOKUP($A3,Calculations!$X$3:$X$14,Calculations!$AT$3:$AT$14))</f>
        <v>1</v>
      </c>
      <c r="J3" s="56">
        <f ca="1">IF(_xlfn.XLOOKUP($A3,Calculations!$X$3:$X$14,Calculations!$AW$3:$AW$14)="",NA(),_xlfn.XLOOKUP($A3,Calculations!$X$3:$X$14,Calculations!$AW$3:$AW$14))</f>
        <v>2</v>
      </c>
      <c r="K3" s="56">
        <f ca="1">IF(_xlfn.XLOOKUP($A3,Calculations!$X$3:$X$14,Calculations!$AZ$3:$AZ$14)="",NA(),_xlfn.XLOOKUP($A3,Calculations!$X$3:$X$14,Calculations!$AZ$3:$AZ$14))</f>
        <v>2</v>
      </c>
      <c r="L3" s="56">
        <f ca="1">IF(_xlfn.XLOOKUP($A3,Calculations!$X$3:$X$14,Calculations!$BC$3:$BC$14)="",NA(),_xlfn.XLOOKUP($A3,Calculations!$X$3:$X$14,Calculations!$BC$3:$BC$14))</f>
        <v>2</v>
      </c>
      <c r="M3" s="56">
        <f ca="1">IF(_xlfn.XLOOKUP($A3,Calculations!$X$3:$X$14,Calculations!$BF$3:$BF$14)="",NA(),_xlfn.XLOOKUP($A3,Calculations!$X$3:$X$14,Calculations!$BF$3:$BF$14))</f>
        <v>2</v>
      </c>
      <c r="N3" s="56">
        <f ca="1">IF(_xlfn.XLOOKUP($A3,Calculations!$X$3:$X$14,Calculations!$BI$3:$BI$14)="",NA(),_xlfn.XLOOKUP($A3,Calculations!$X$3:$X$14,Calculations!$BI$3:$BI$14))</f>
        <v>2</v>
      </c>
      <c r="O3" s="56">
        <f ca="1">IF(_xlfn.XLOOKUP($A3,Calculations!$X$3:$X$14,Calculations!$BL$3:$BL$14)="",NA(),_xlfn.XLOOKUP($A3,Calculations!$X$3:$X$14,Calculations!$BL$3:$BL$14))</f>
        <v>2</v>
      </c>
    </row>
    <row r="4" spans="1:15" x14ac:dyDescent="0.25">
      <c r="A4" s="1" t="str">
        <f>IF('Raw Data'!P4="","",'Raw Data'!P4)</f>
        <v>The Goob Troop</v>
      </c>
      <c r="B4" s="56">
        <f ca="1">_xlfn.XLOOKUP($A4,Calculations!$X$3:$X$14,Calculations!$Y$3:$Y$14)</f>
        <v>12</v>
      </c>
      <c r="C4" s="56">
        <f ca="1">_xlfn.XLOOKUP($A4,Calculations!$X$3:$X$14,Calculations!$AB$3:$AB$14)</f>
        <v>9</v>
      </c>
      <c r="D4" s="56">
        <f ca="1">_xlfn.XLOOKUP($A4,Calculations!$X$3:$X$14,Calculations!$AE$3:$AE$14)</f>
        <v>10</v>
      </c>
      <c r="E4" s="56">
        <f ca="1">_xlfn.XLOOKUP($A4,Calculations!$X$3:$X$14,Calculations!$AH$3:$AH$14)</f>
        <v>11</v>
      </c>
      <c r="F4" s="56">
        <f ca="1">_xlfn.XLOOKUP($A4,Calculations!$X$3:$X$14,Calculations!$AK$3:$AK$14)</f>
        <v>11</v>
      </c>
      <c r="G4" s="56">
        <f ca="1">_xlfn.XLOOKUP($A4,Calculations!$X$3:$X$14,Calculations!$AN$3:$AN$14)</f>
        <v>11</v>
      </c>
      <c r="H4" s="56">
        <f ca="1">_xlfn.XLOOKUP($A4,Calculations!$X$3:$X$14,Calculations!$AQ$3:$AQ$14)</f>
        <v>10</v>
      </c>
      <c r="I4" s="56">
        <f ca="1">IF(_xlfn.XLOOKUP($A4,Calculations!$X$3:$X$14,Calculations!$AT$3:$AT$14)="",NA(),_xlfn.XLOOKUP($A4,Calculations!$X$3:$X$14,Calculations!$AT$3:$AT$14))</f>
        <v>11</v>
      </c>
      <c r="J4" s="56">
        <f ca="1">IF(_xlfn.XLOOKUP($A4,Calculations!$X$3:$X$14,Calculations!$AW$3:$AW$14)="",NA(),_xlfn.XLOOKUP($A4,Calculations!$X$3:$X$14,Calculations!$AW$3:$AW$14))</f>
        <v>11</v>
      </c>
      <c r="K4" s="56">
        <f ca="1">IF(_xlfn.XLOOKUP($A4,Calculations!$X$3:$X$14,Calculations!$AZ$3:$AZ$14)="",NA(),_xlfn.XLOOKUP($A4,Calculations!$X$3:$X$14,Calculations!$AZ$3:$AZ$14))</f>
        <v>10</v>
      </c>
      <c r="L4" s="56">
        <f ca="1">IF(_xlfn.XLOOKUP($A4,Calculations!$X$3:$X$14,Calculations!$BC$3:$BC$14)="",NA(),_xlfn.XLOOKUP($A4,Calculations!$X$3:$X$14,Calculations!$BC$3:$BC$14))</f>
        <v>11</v>
      </c>
      <c r="M4" s="56">
        <f ca="1">IF(_xlfn.XLOOKUP($A4,Calculations!$X$3:$X$14,Calculations!$BF$3:$BF$14)="",NA(),_xlfn.XLOOKUP($A4,Calculations!$X$3:$X$14,Calculations!$BF$3:$BF$14))</f>
        <v>11</v>
      </c>
      <c r="N4" s="56">
        <f ca="1">IF(_xlfn.XLOOKUP($A4,Calculations!$X$3:$X$14,Calculations!$BI$3:$BI$14)="",NA(),_xlfn.XLOOKUP($A4,Calculations!$X$3:$X$14,Calculations!$BI$3:$BI$14))</f>
        <v>11</v>
      </c>
      <c r="O4" s="56">
        <f ca="1">IF(_xlfn.XLOOKUP($A4,Calculations!$X$3:$X$14,Calculations!$BL$3:$BL$14)="",NA(),_xlfn.XLOOKUP($A4,Calculations!$X$3:$X$14,Calculations!$BL$3:$BL$14))</f>
        <v>11</v>
      </c>
    </row>
    <row r="5" spans="1:15" x14ac:dyDescent="0.25">
      <c r="A5" s="1" t="str">
        <f>IF('Raw Data'!P5="","",'Raw Data'!P5)</f>
        <v>Herbie's Honkers</v>
      </c>
      <c r="B5" s="56">
        <f ca="1">_xlfn.XLOOKUP($A5,Calculations!$X$3:$X$14,Calculations!$Y$3:$Y$14)</f>
        <v>1</v>
      </c>
      <c r="C5" s="56">
        <f ca="1">_xlfn.XLOOKUP($A5,Calculations!$X$3:$X$14,Calculations!$AB$3:$AB$14)</f>
        <v>4</v>
      </c>
      <c r="D5" s="56">
        <f ca="1">_xlfn.XLOOKUP($A5,Calculations!$X$3:$X$14,Calculations!$AE$3:$AE$14)</f>
        <v>2</v>
      </c>
      <c r="E5" s="56">
        <f ca="1">_xlfn.XLOOKUP($A5,Calculations!$X$3:$X$14,Calculations!$AH$3:$AH$14)</f>
        <v>4</v>
      </c>
      <c r="F5" s="56">
        <f ca="1">_xlfn.XLOOKUP($A5,Calculations!$X$3:$X$14,Calculations!$AK$3:$AK$14)</f>
        <v>3</v>
      </c>
      <c r="G5" s="56">
        <f ca="1">_xlfn.XLOOKUP($A5,Calculations!$X$3:$X$14,Calculations!$AN$3:$AN$14)</f>
        <v>2</v>
      </c>
      <c r="H5" s="56">
        <f ca="1">_xlfn.XLOOKUP($A5,Calculations!$X$3:$X$14,Calculations!$AQ$3:$AQ$14)</f>
        <v>2</v>
      </c>
      <c r="I5" s="56">
        <f ca="1">IF(_xlfn.XLOOKUP($A5,Calculations!$X$3:$X$14,Calculations!$AT$3:$AT$14)="",NA(),_xlfn.XLOOKUP($A5,Calculations!$X$3:$X$14,Calculations!$AT$3:$AT$14))</f>
        <v>2</v>
      </c>
      <c r="J5" s="56">
        <f ca="1">IF(_xlfn.XLOOKUP($A5,Calculations!$X$3:$X$14,Calculations!$AW$3:$AW$14)="",NA(),_xlfn.XLOOKUP($A5,Calculations!$X$3:$X$14,Calculations!$AW$3:$AW$14))</f>
        <v>1</v>
      </c>
      <c r="K5" s="56">
        <f ca="1">IF(_xlfn.XLOOKUP($A5,Calculations!$X$3:$X$14,Calculations!$AZ$3:$AZ$14)="",NA(),_xlfn.XLOOKUP($A5,Calculations!$X$3:$X$14,Calculations!$AZ$3:$AZ$14))</f>
        <v>1</v>
      </c>
      <c r="L5" s="56">
        <f ca="1">IF(_xlfn.XLOOKUP($A5,Calculations!$X$3:$X$14,Calculations!$BC$3:$BC$14)="",NA(),_xlfn.XLOOKUP($A5,Calculations!$X$3:$X$14,Calculations!$BC$3:$BC$14))</f>
        <v>1</v>
      </c>
      <c r="M5" s="56">
        <f ca="1">IF(_xlfn.XLOOKUP($A5,Calculations!$X$3:$X$14,Calculations!$BF$3:$BF$14)="",NA(),_xlfn.XLOOKUP($A5,Calculations!$X$3:$X$14,Calculations!$BF$3:$BF$14))</f>
        <v>1</v>
      </c>
      <c r="N5" s="56">
        <f ca="1">IF(_xlfn.XLOOKUP($A5,Calculations!$X$3:$X$14,Calculations!$BI$3:$BI$14)="",NA(),_xlfn.XLOOKUP($A5,Calculations!$X$3:$X$14,Calculations!$BI$3:$BI$14))</f>
        <v>1</v>
      </c>
      <c r="O5" s="56">
        <f ca="1">IF(_xlfn.XLOOKUP($A5,Calculations!$X$3:$X$14,Calculations!$BL$3:$BL$14)="",NA(),_xlfn.XLOOKUP($A5,Calculations!$X$3:$X$14,Calculations!$BL$3:$BL$14))</f>
        <v>1</v>
      </c>
    </row>
    <row r="6" spans="1:15" x14ac:dyDescent="0.25">
      <c r="A6" s="1" t="str">
        <f>IF('Raw Data'!P6="","",'Raw Data'!P6)</f>
        <v>Stupid Smartass Psycho</v>
      </c>
      <c r="B6" s="56">
        <f ca="1">_xlfn.XLOOKUP($A6,Calculations!$X$3:$X$14,Calculations!$Y$3:$Y$14)</f>
        <v>8</v>
      </c>
      <c r="C6" s="56">
        <f ca="1">_xlfn.XLOOKUP($A6,Calculations!$X$3:$X$14,Calculations!$AB$3:$AB$14)</f>
        <v>6</v>
      </c>
      <c r="D6" s="56">
        <f ca="1">_xlfn.XLOOKUP($A6,Calculations!$X$3:$X$14,Calculations!$AE$3:$AE$14)</f>
        <v>7</v>
      </c>
      <c r="E6" s="56">
        <f ca="1">_xlfn.XLOOKUP($A6,Calculations!$X$3:$X$14,Calculations!$AH$3:$AH$14)</f>
        <v>6</v>
      </c>
      <c r="F6" s="56">
        <f ca="1">_xlfn.XLOOKUP($A6,Calculations!$X$3:$X$14,Calculations!$AK$3:$AK$14)</f>
        <v>7</v>
      </c>
      <c r="G6" s="56">
        <f ca="1">_xlfn.XLOOKUP($A6,Calculations!$X$3:$X$14,Calculations!$AN$3:$AN$14)</f>
        <v>6</v>
      </c>
      <c r="H6" s="56">
        <f ca="1">_xlfn.XLOOKUP($A6,Calculations!$X$3:$X$14,Calculations!$AQ$3:$AQ$14)</f>
        <v>7</v>
      </c>
      <c r="I6" s="56">
        <f ca="1">IF(_xlfn.XLOOKUP($A6,Calculations!$X$3:$X$14,Calculations!$AT$3:$AT$14)="",NA(),_xlfn.XLOOKUP($A6,Calculations!$X$3:$X$14,Calculations!$AT$3:$AT$14))</f>
        <v>5</v>
      </c>
      <c r="J6" s="56">
        <f ca="1">IF(_xlfn.XLOOKUP($A6,Calculations!$X$3:$X$14,Calculations!$AW$3:$AW$14)="",NA(),_xlfn.XLOOKUP($A6,Calculations!$X$3:$X$14,Calculations!$AW$3:$AW$14))</f>
        <v>5</v>
      </c>
      <c r="K6" s="56">
        <f ca="1">IF(_xlfn.XLOOKUP($A6,Calculations!$X$3:$X$14,Calculations!$AZ$3:$AZ$14)="",NA(),_xlfn.XLOOKUP($A6,Calculations!$X$3:$X$14,Calculations!$AZ$3:$AZ$14))</f>
        <v>3</v>
      </c>
      <c r="L6" s="56">
        <f ca="1">IF(_xlfn.XLOOKUP($A6,Calculations!$X$3:$X$14,Calculations!$BC$3:$BC$14)="",NA(),_xlfn.XLOOKUP($A6,Calculations!$X$3:$X$14,Calculations!$BC$3:$BC$14))</f>
        <v>3</v>
      </c>
      <c r="M6" s="56">
        <f ca="1">IF(_xlfn.XLOOKUP($A6,Calculations!$X$3:$X$14,Calculations!$BF$3:$BF$14)="",NA(),_xlfn.XLOOKUP($A6,Calculations!$X$3:$X$14,Calculations!$BF$3:$BF$14))</f>
        <v>4</v>
      </c>
      <c r="N6" s="56">
        <f ca="1">IF(_xlfn.XLOOKUP($A6,Calculations!$X$3:$X$14,Calculations!$BI$3:$BI$14)="",NA(),_xlfn.XLOOKUP($A6,Calculations!$X$3:$X$14,Calculations!$BI$3:$BI$14))</f>
        <v>5</v>
      </c>
      <c r="O6" s="56">
        <f ca="1">IF(_xlfn.XLOOKUP($A6,Calculations!$X$3:$X$14,Calculations!$BL$3:$BL$14)="",NA(),_xlfn.XLOOKUP($A6,Calculations!$X$3:$X$14,Calculations!$BL$3:$BL$14))</f>
        <v>6</v>
      </c>
    </row>
    <row r="7" spans="1:15" x14ac:dyDescent="0.25">
      <c r="A7" s="1" t="str">
        <f>IF('Raw Data'!P8="","",'Raw Data'!P8)</f>
        <v>SqueakSqueakinSqueakSqueakity</v>
      </c>
      <c r="B7" s="56">
        <f ca="1">_xlfn.XLOOKUP($A7,Calculations!$X$3:$X$14,Calculations!$Y$3:$Y$14)</f>
        <v>5</v>
      </c>
      <c r="C7" s="56">
        <f ca="1">_xlfn.XLOOKUP($A7,Calculations!$X$3:$X$14,Calculations!$AB$3:$AB$14)</f>
        <v>10</v>
      </c>
      <c r="D7" s="56">
        <f ca="1">_xlfn.XLOOKUP($A7,Calculations!$X$3:$X$14,Calculations!$AE$3:$AE$14)</f>
        <v>9</v>
      </c>
      <c r="E7" s="56">
        <f ca="1">_xlfn.XLOOKUP($A7,Calculations!$X$3:$X$14,Calculations!$AH$3:$AH$14)</f>
        <v>5</v>
      </c>
      <c r="F7" s="56">
        <f ca="1">_xlfn.XLOOKUP($A7,Calculations!$X$3:$X$14,Calculations!$AK$3:$AK$14)</f>
        <v>5</v>
      </c>
      <c r="G7" s="56">
        <f ca="1">_xlfn.XLOOKUP($A7,Calculations!$X$3:$X$14,Calculations!$AN$3:$AN$14)</f>
        <v>4</v>
      </c>
      <c r="H7" s="56">
        <f ca="1">_xlfn.XLOOKUP($A7,Calculations!$X$3:$X$14,Calculations!$AQ$3:$AQ$14)</f>
        <v>5</v>
      </c>
      <c r="I7" s="56">
        <f ca="1">IF(_xlfn.XLOOKUP($A7,Calculations!$X$3:$X$14,Calculations!$AT$3:$AT$14)="",NA(),_xlfn.XLOOKUP($A7,Calculations!$X$3:$X$14,Calculations!$AT$3:$AT$14))</f>
        <v>4</v>
      </c>
      <c r="J7" s="56">
        <f ca="1">IF(_xlfn.XLOOKUP($A7,Calculations!$X$3:$X$14,Calculations!$AW$3:$AW$14)="",NA(),_xlfn.XLOOKUP($A7,Calculations!$X$3:$X$14,Calculations!$AW$3:$AW$14))</f>
        <v>4</v>
      </c>
      <c r="K7" s="56">
        <f ca="1">IF(_xlfn.XLOOKUP($A7,Calculations!$X$3:$X$14,Calculations!$AZ$3:$AZ$14)="",NA(),_xlfn.XLOOKUP($A7,Calculations!$X$3:$X$14,Calculations!$AZ$3:$AZ$14))</f>
        <v>5</v>
      </c>
      <c r="L7" s="56">
        <f ca="1">IF(_xlfn.XLOOKUP($A7,Calculations!$X$3:$X$14,Calculations!$BC$3:$BC$14)="",NA(),_xlfn.XLOOKUP($A7,Calculations!$X$3:$X$14,Calculations!$BC$3:$BC$14))</f>
        <v>4</v>
      </c>
      <c r="M7" s="56">
        <f ca="1">IF(_xlfn.XLOOKUP($A7,Calculations!$X$3:$X$14,Calculations!$BF$3:$BF$14)="",NA(),_xlfn.XLOOKUP($A7,Calculations!$X$3:$X$14,Calculations!$BF$3:$BF$14))</f>
        <v>3</v>
      </c>
      <c r="N7" s="56">
        <f ca="1">IF(_xlfn.XLOOKUP($A7,Calculations!$X$3:$X$14,Calculations!$BI$3:$BI$14)="",NA(),_xlfn.XLOOKUP($A7,Calculations!$X$3:$X$14,Calculations!$BI$3:$BI$14))</f>
        <v>3</v>
      </c>
      <c r="O7" s="56">
        <f ca="1">IF(_xlfn.XLOOKUP($A7,Calculations!$X$3:$X$14,Calculations!$BL$3:$BL$14)="",NA(),_xlfn.XLOOKUP($A7,Calculations!$X$3:$X$14,Calculations!$BL$3:$BL$14))</f>
        <v>3</v>
      </c>
    </row>
    <row r="8" spans="1:15" x14ac:dyDescent="0.25">
      <c r="A8" s="1" t="str">
        <f>IF('Raw Data'!P9="","",'Raw Data'!P9)</f>
        <v>We're all mad here</v>
      </c>
      <c r="B8" s="56">
        <f ca="1">_xlfn.XLOOKUP($A8,Calculations!$X$3:$X$14,Calculations!$Y$3:$Y$14)</f>
        <v>9</v>
      </c>
      <c r="C8" s="56">
        <f ca="1">_xlfn.XLOOKUP($A8,Calculations!$X$3:$X$14,Calculations!$AB$3:$AB$14)</f>
        <v>7</v>
      </c>
      <c r="D8" s="56">
        <f ca="1">_xlfn.XLOOKUP($A8,Calculations!$X$3:$X$14,Calculations!$AE$3:$AE$14)</f>
        <v>4</v>
      </c>
      <c r="E8" s="56">
        <f ca="1">_xlfn.XLOOKUP($A8,Calculations!$X$3:$X$14,Calculations!$AH$3:$AH$14)</f>
        <v>8</v>
      </c>
      <c r="F8" s="56">
        <f ca="1">_xlfn.XLOOKUP($A8,Calculations!$X$3:$X$14,Calculations!$AK$3:$AK$14)</f>
        <v>6</v>
      </c>
      <c r="G8" s="56">
        <f ca="1">_xlfn.XLOOKUP($A8,Calculations!$X$3:$X$14,Calculations!$AN$3:$AN$14)</f>
        <v>7</v>
      </c>
      <c r="H8" s="56">
        <f ca="1">_xlfn.XLOOKUP($A8,Calculations!$X$3:$X$14,Calculations!$AQ$3:$AQ$14)</f>
        <v>6</v>
      </c>
      <c r="I8" s="56">
        <f ca="1">IF(_xlfn.XLOOKUP($A8,Calculations!$X$3:$X$14,Calculations!$AT$3:$AT$14)="",NA(),_xlfn.XLOOKUP($A8,Calculations!$X$3:$X$14,Calculations!$AT$3:$AT$14))</f>
        <v>8</v>
      </c>
      <c r="J8" s="56">
        <f ca="1">IF(_xlfn.XLOOKUP($A8,Calculations!$X$3:$X$14,Calculations!$AW$3:$AW$14)="",NA(),_xlfn.XLOOKUP($A8,Calculations!$X$3:$X$14,Calculations!$AW$3:$AW$14))</f>
        <v>8</v>
      </c>
      <c r="K8" s="56">
        <f ca="1">IF(_xlfn.XLOOKUP($A8,Calculations!$X$3:$X$14,Calculations!$AZ$3:$AZ$14)="",NA(),_xlfn.XLOOKUP($A8,Calculations!$X$3:$X$14,Calculations!$AZ$3:$AZ$14))</f>
        <v>7</v>
      </c>
      <c r="L8" s="56">
        <f ca="1">IF(_xlfn.XLOOKUP($A8,Calculations!$X$3:$X$14,Calculations!$BC$3:$BC$14)="",NA(),_xlfn.XLOOKUP($A8,Calculations!$X$3:$X$14,Calculations!$BC$3:$BC$14))</f>
        <v>8</v>
      </c>
      <c r="M8" s="56">
        <f ca="1">IF(_xlfn.XLOOKUP($A8,Calculations!$X$3:$X$14,Calculations!$BF$3:$BF$14)="",NA(),_xlfn.XLOOKUP($A8,Calculations!$X$3:$X$14,Calculations!$BF$3:$BF$14))</f>
        <v>8</v>
      </c>
      <c r="N8" s="56">
        <f ca="1">IF(_xlfn.XLOOKUP($A8,Calculations!$X$3:$X$14,Calculations!$BI$3:$BI$14)="",NA(),_xlfn.XLOOKUP($A8,Calculations!$X$3:$X$14,Calculations!$BI$3:$BI$14))</f>
        <v>7</v>
      </c>
      <c r="O8" s="56">
        <f ca="1">IF(_xlfn.XLOOKUP($A8,Calculations!$X$3:$X$14,Calculations!$BL$3:$BL$14)="",NA(),_xlfn.XLOOKUP($A8,Calculations!$X$3:$X$14,Calculations!$BL$3:$BL$14))</f>
        <v>8</v>
      </c>
    </row>
    <row r="9" spans="1:15" x14ac:dyDescent="0.25">
      <c r="A9" s="1" t="str">
        <f>IF('Raw Data'!P10="","",'Raw Data'!P10)</f>
        <v>Tick Tock the Crocodile</v>
      </c>
      <c r="B9" s="56">
        <f ca="1">_xlfn.XLOOKUP($A9,Calculations!$X$3:$X$14,Calculations!$Y$3:$Y$14)</f>
        <v>6</v>
      </c>
      <c r="C9" s="56">
        <f ca="1">_xlfn.XLOOKUP($A9,Calculations!$X$3:$X$14,Calculations!$AB$3:$AB$14)</f>
        <v>3</v>
      </c>
      <c r="D9" s="56">
        <f ca="1">_xlfn.XLOOKUP($A9,Calculations!$X$3:$X$14,Calculations!$AE$3:$AE$14)</f>
        <v>8</v>
      </c>
      <c r="E9" s="56">
        <f ca="1">_xlfn.XLOOKUP($A9,Calculations!$X$3:$X$14,Calculations!$AH$3:$AH$14)</f>
        <v>7</v>
      </c>
      <c r="F9" s="56">
        <f ca="1">_xlfn.XLOOKUP($A9,Calculations!$X$3:$X$14,Calculations!$AK$3:$AK$14)</f>
        <v>8</v>
      </c>
      <c r="G9" s="56">
        <f ca="1">_xlfn.XLOOKUP($A9,Calculations!$X$3:$X$14,Calculations!$AN$3:$AN$14)</f>
        <v>9</v>
      </c>
      <c r="H9" s="56">
        <f ca="1">_xlfn.XLOOKUP($A9,Calculations!$X$3:$X$14,Calculations!$AQ$3:$AQ$14)</f>
        <v>9</v>
      </c>
      <c r="I9" s="56">
        <f ca="1">IF(_xlfn.XLOOKUP($A9,Calculations!$X$3:$X$14,Calculations!$AT$3:$AT$14)="",NA(),_xlfn.XLOOKUP($A9,Calculations!$X$3:$X$14,Calculations!$AT$3:$AT$14))</f>
        <v>9</v>
      </c>
      <c r="J9" s="56">
        <f ca="1">IF(_xlfn.XLOOKUP($A9,Calculations!$X$3:$X$14,Calculations!$AW$3:$AW$14)="",NA(),_xlfn.XLOOKUP($A9,Calculations!$X$3:$X$14,Calculations!$AW$3:$AW$14))</f>
        <v>9</v>
      </c>
      <c r="K9" s="56">
        <f ca="1">IF(_xlfn.XLOOKUP($A9,Calculations!$X$3:$X$14,Calculations!$AZ$3:$AZ$14)="",NA(),_xlfn.XLOOKUP($A9,Calculations!$X$3:$X$14,Calculations!$AZ$3:$AZ$14))</f>
        <v>11</v>
      </c>
      <c r="L9" s="56">
        <f ca="1">IF(_xlfn.XLOOKUP($A9,Calculations!$X$3:$X$14,Calculations!$BC$3:$BC$14)="",NA(),_xlfn.XLOOKUP($A9,Calculations!$X$3:$X$14,Calculations!$BC$3:$BC$14))</f>
        <v>9</v>
      </c>
      <c r="M9" s="56">
        <f ca="1">IF(_xlfn.XLOOKUP($A9,Calculations!$X$3:$X$14,Calculations!$BF$3:$BF$14)="",NA(),_xlfn.XLOOKUP($A9,Calculations!$X$3:$X$14,Calculations!$BF$3:$BF$14))</f>
        <v>10</v>
      </c>
      <c r="N9" s="56">
        <f ca="1">IF(_xlfn.XLOOKUP($A9,Calculations!$X$3:$X$14,Calculations!$BI$3:$BI$14)="",NA(),_xlfn.XLOOKUP($A9,Calculations!$X$3:$X$14,Calculations!$BI$3:$BI$14))</f>
        <v>9</v>
      </c>
      <c r="O9" s="56">
        <f ca="1">IF(_xlfn.XLOOKUP($A9,Calculations!$X$3:$X$14,Calculations!$BL$3:$BL$14)="",NA(),_xlfn.XLOOKUP($A9,Calculations!$X$3:$X$14,Calculations!$BL$3:$BL$14))</f>
        <v>9</v>
      </c>
    </row>
    <row r="10" spans="1:15" x14ac:dyDescent="0.25">
      <c r="A10" s="1" t="str">
        <f>IF('Raw Data'!P11="","",'Raw Data'!P11)</f>
        <v>Aladdin Jazerra</v>
      </c>
      <c r="B10" s="56">
        <f ca="1">_xlfn.XLOOKUP($A10,Calculations!$X$3:$X$14,Calculations!$Y$3:$Y$14)</f>
        <v>10</v>
      </c>
      <c r="C10" s="56">
        <f ca="1">_xlfn.XLOOKUP($A10,Calculations!$X$3:$X$14,Calculations!$AB$3:$AB$14)</f>
        <v>12</v>
      </c>
      <c r="D10" s="56">
        <f ca="1">_xlfn.XLOOKUP($A10,Calculations!$X$3:$X$14,Calculations!$AE$3:$AE$14)</f>
        <v>12</v>
      </c>
      <c r="E10" s="56">
        <f ca="1">_xlfn.XLOOKUP($A10,Calculations!$X$3:$X$14,Calculations!$AH$3:$AH$14)</f>
        <v>12</v>
      </c>
      <c r="F10" s="56">
        <f ca="1">_xlfn.XLOOKUP($A10,Calculations!$X$3:$X$14,Calculations!$AK$3:$AK$14)</f>
        <v>10</v>
      </c>
      <c r="G10" s="56">
        <f ca="1">_xlfn.XLOOKUP($A10,Calculations!$X$3:$X$14,Calculations!$AN$3:$AN$14)</f>
        <v>10</v>
      </c>
      <c r="H10" s="56">
        <f ca="1">_xlfn.XLOOKUP($A10,Calculations!$X$3:$X$14,Calculations!$AQ$3:$AQ$14)</f>
        <v>11</v>
      </c>
      <c r="I10" s="56">
        <f ca="1">IF(_xlfn.XLOOKUP($A10,Calculations!$X$3:$X$14,Calculations!$AT$3:$AT$14)="",NA(),_xlfn.XLOOKUP($A10,Calculations!$X$3:$X$14,Calculations!$AT$3:$AT$14))</f>
        <v>10</v>
      </c>
      <c r="J10" s="56">
        <f ca="1">IF(_xlfn.XLOOKUP($A10,Calculations!$X$3:$X$14,Calculations!$AW$3:$AW$14)="",NA(),_xlfn.XLOOKUP($A10,Calculations!$X$3:$X$14,Calculations!$AW$3:$AW$14))</f>
        <v>10</v>
      </c>
      <c r="K10" s="56">
        <f ca="1">IF(_xlfn.XLOOKUP($A10,Calculations!$X$3:$X$14,Calculations!$AZ$3:$AZ$14)="",NA(),_xlfn.XLOOKUP($A10,Calculations!$X$3:$X$14,Calculations!$AZ$3:$AZ$14))</f>
        <v>9</v>
      </c>
      <c r="L10" s="56">
        <f ca="1">IF(_xlfn.XLOOKUP($A10,Calculations!$X$3:$X$14,Calculations!$BC$3:$BC$14)="",NA(),_xlfn.XLOOKUP($A10,Calculations!$X$3:$X$14,Calculations!$BC$3:$BC$14))</f>
        <v>10</v>
      </c>
      <c r="M10" s="56">
        <f ca="1">IF(_xlfn.XLOOKUP($A10,Calculations!$X$3:$X$14,Calculations!$BF$3:$BF$14)="",NA(),_xlfn.XLOOKUP($A10,Calculations!$X$3:$X$14,Calculations!$BF$3:$BF$14))</f>
        <v>9</v>
      </c>
      <c r="N10" s="56">
        <f ca="1">IF(_xlfn.XLOOKUP($A10,Calculations!$X$3:$X$14,Calculations!$BI$3:$BI$14)="",NA(),_xlfn.XLOOKUP($A10,Calculations!$X$3:$X$14,Calculations!$BI$3:$BI$14))</f>
        <v>10</v>
      </c>
      <c r="O10" s="56">
        <f ca="1">IF(_xlfn.XLOOKUP($A10,Calculations!$X$3:$X$14,Calculations!$BL$3:$BL$14)="",NA(),_xlfn.XLOOKUP($A10,Calculations!$X$3:$X$14,Calculations!$BL$3:$BL$14))</f>
        <v>10</v>
      </c>
    </row>
    <row r="11" spans="1:15" x14ac:dyDescent="0.25">
      <c r="A11" s="1" t="str">
        <f>IF('Raw Data'!P13="","",'Raw Data'!P13)</f>
        <v>Prince Abooboo</v>
      </c>
      <c r="B11" s="56">
        <f ca="1">_xlfn.XLOOKUP($A11,Calculations!$X$3:$X$14,Calculations!$Y$3:$Y$14)</f>
        <v>3</v>
      </c>
      <c r="C11" s="56">
        <f ca="1">_xlfn.XLOOKUP($A11,Calculations!$X$3:$X$14,Calculations!$AB$3:$AB$14)</f>
        <v>5</v>
      </c>
      <c r="D11" s="56">
        <f ca="1">_xlfn.XLOOKUP($A11,Calculations!$X$3:$X$14,Calculations!$AE$3:$AE$14)</f>
        <v>5</v>
      </c>
      <c r="E11" s="56">
        <f ca="1">_xlfn.XLOOKUP($A11,Calculations!$X$3:$X$14,Calculations!$AH$3:$AH$14)</f>
        <v>3</v>
      </c>
      <c r="F11" s="56">
        <f ca="1">_xlfn.XLOOKUP($A11,Calculations!$X$3:$X$14,Calculations!$AK$3:$AK$14)</f>
        <v>2</v>
      </c>
      <c r="G11" s="56">
        <f ca="1">_xlfn.XLOOKUP($A11,Calculations!$X$3:$X$14,Calculations!$AN$3:$AN$14)</f>
        <v>3</v>
      </c>
      <c r="H11" s="56">
        <f ca="1">_xlfn.XLOOKUP($A11,Calculations!$X$3:$X$14,Calculations!$AQ$3:$AQ$14)</f>
        <v>4</v>
      </c>
      <c r="I11" s="56">
        <f ca="1">IF(_xlfn.XLOOKUP($A11,Calculations!$X$3:$X$14,Calculations!$AT$3:$AT$14)="",NA(),_xlfn.XLOOKUP($A11,Calculations!$X$3:$X$14,Calculations!$AT$3:$AT$14))</f>
        <v>7</v>
      </c>
      <c r="J11" s="56">
        <f ca="1">IF(_xlfn.XLOOKUP($A11,Calculations!$X$3:$X$14,Calculations!$AW$3:$AW$14)="",NA(),_xlfn.XLOOKUP($A11,Calculations!$X$3:$X$14,Calculations!$AW$3:$AW$14))</f>
        <v>6</v>
      </c>
      <c r="K11" s="56">
        <f ca="1">IF(_xlfn.XLOOKUP($A11,Calculations!$X$3:$X$14,Calculations!$AZ$3:$AZ$14)="",NA(),_xlfn.XLOOKUP($A11,Calculations!$X$3:$X$14,Calculations!$AZ$3:$AZ$14))</f>
        <v>6</v>
      </c>
      <c r="L11" s="56">
        <f ca="1">IF(_xlfn.XLOOKUP($A11,Calculations!$X$3:$X$14,Calculations!$BC$3:$BC$14)="",NA(),_xlfn.XLOOKUP($A11,Calculations!$X$3:$X$14,Calculations!$BC$3:$BC$14))</f>
        <v>6</v>
      </c>
      <c r="M11" s="56">
        <f ca="1">IF(_xlfn.XLOOKUP($A11,Calculations!$X$3:$X$14,Calculations!$BF$3:$BF$14)="",NA(),_xlfn.XLOOKUP($A11,Calculations!$X$3:$X$14,Calculations!$BF$3:$BF$14))</f>
        <v>5</v>
      </c>
      <c r="N11" s="56">
        <f ca="1">IF(_xlfn.XLOOKUP($A11,Calculations!$X$3:$X$14,Calculations!$BI$3:$BI$14)="",NA(),_xlfn.XLOOKUP($A11,Calculations!$X$3:$X$14,Calculations!$BI$3:$BI$14))</f>
        <v>6</v>
      </c>
      <c r="O11" s="56">
        <f ca="1">IF(_xlfn.XLOOKUP($A11,Calculations!$X$3:$X$14,Calculations!$BL$3:$BL$14)="",NA(),_xlfn.XLOOKUP($A11,Calculations!$X$3:$X$14,Calculations!$BL$3:$BL$14))</f>
        <v>5</v>
      </c>
    </row>
    <row r="12" spans="1:15" x14ac:dyDescent="0.25">
      <c r="A12" s="1" t="str">
        <f>IF('Raw Data'!P14="","",'Raw Data'!P14)</f>
        <v>Wrong Lever!</v>
      </c>
      <c r="B12" s="56">
        <f ca="1">_xlfn.XLOOKUP($A12,Calculations!$X$3:$X$14,Calculations!$Y$3:$Y$14)</f>
        <v>11</v>
      </c>
      <c r="C12" s="56">
        <f ca="1">_xlfn.XLOOKUP($A12,Calculations!$X$3:$X$14,Calculations!$AB$3:$AB$14)</f>
        <v>11</v>
      </c>
      <c r="D12" s="56">
        <f ca="1">_xlfn.XLOOKUP($A12,Calculations!$X$3:$X$14,Calculations!$AE$3:$AE$14)</f>
        <v>11</v>
      </c>
      <c r="E12" s="56">
        <f ca="1">_xlfn.XLOOKUP($A12,Calculations!$X$3:$X$14,Calculations!$AH$3:$AH$14)</f>
        <v>10</v>
      </c>
      <c r="F12" s="56">
        <f ca="1">_xlfn.XLOOKUP($A12,Calculations!$X$3:$X$14,Calculations!$AK$3:$AK$14)</f>
        <v>12</v>
      </c>
      <c r="G12" s="56">
        <f ca="1">_xlfn.XLOOKUP($A12,Calculations!$X$3:$X$14,Calculations!$AN$3:$AN$14)</f>
        <v>12</v>
      </c>
      <c r="H12" s="56">
        <f ca="1">_xlfn.XLOOKUP($A12,Calculations!$X$3:$X$14,Calculations!$AQ$3:$AQ$14)</f>
        <v>12</v>
      </c>
      <c r="I12" s="56">
        <f ca="1">IF(_xlfn.XLOOKUP($A12,Calculations!$X$3:$X$14,Calculations!$AT$3:$AT$14)="",NA(),_xlfn.XLOOKUP($A12,Calculations!$X$3:$X$14,Calculations!$AT$3:$AT$14))</f>
        <v>12</v>
      </c>
      <c r="J12" s="56">
        <f ca="1">IF(_xlfn.XLOOKUP($A12,Calculations!$X$3:$X$14,Calculations!$AW$3:$AW$14)="",NA(),_xlfn.XLOOKUP($A12,Calculations!$X$3:$X$14,Calculations!$AW$3:$AW$14))</f>
        <v>12</v>
      </c>
      <c r="K12" s="56">
        <f ca="1">IF(_xlfn.XLOOKUP($A12,Calculations!$X$3:$X$14,Calculations!$AZ$3:$AZ$14)="",NA(),_xlfn.XLOOKUP($A12,Calculations!$X$3:$X$14,Calculations!$AZ$3:$AZ$14))</f>
        <v>12</v>
      </c>
      <c r="L12" s="56">
        <f ca="1">IF(_xlfn.XLOOKUP($A12,Calculations!$X$3:$X$14,Calculations!$BC$3:$BC$14)="",NA(),_xlfn.XLOOKUP($A12,Calculations!$X$3:$X$14,Calculations!$BC$3:$BC$14))</f>
        <v>12</v>
      </c>
      <c r="M12" s="56">
        <f ca="1">IF(_xlfn.XLOOKUP($A12,Calculations!$X$3:$X$14,Calculations!$BF$3:$BF$14)="",NA(),_xlfn.XLOOKUP($A12,Calculations!$X$3:$X$14,Calculations!$BF$3:$BF$14))</f>
        <v>12</v>
      </c>
      <c r="N12" s="56">
        <f ca="1">IF(_xlfn.XLOOKUP($A12,Calculations!$X$3:$X$14,Calculations!$BI$3:$BI$14)="",NA(),_xlfn.XLOOKUP($A12,Calculations!$X$3:$X$14,Calculations!$BI$3:$BI$14))</f>
        <v>12</v>
      </c>
      <c r="O12" s="56">
        <f ca="1">IF(_xlfn.XLOOKUP($A12,Calculations!$X$3:$X$14,Calculations!$BL$3:$BL$14)="",NA(),_xlfn.XLOOKUP($A12,Calculations!$X$3:$X$14,Calculations!$BL$3:$BL$14))</f>
        <v>12</v>
      </c>
    </row>
    <row r="13" spans="1:15" x14ac:dyDescent="0.25">
      <c r="A13" s="1" t="str">
        <f>IF('Raw Data'!P15="","",'Raw Data'!P15)</f>
        <v>5 Dozen Eggs by Gaston</v>
      </c>
      <c r="B13" s="56">
        <f ca="1">_xlfn.XLOOKUP($A13,Calculations!$X$3:$X$14,Calculations!$Y$3:$Y$14)</f>
        <v>4</v>
      </c>
      <c r="C13" s="56">
        <f ca="1">_xlfn.XLOOKUP($A13,Calculations!$X$3:$X$14,Calculations!$AB$3:$AB$14)</f>
        <v>8</v>
      </c>
      <c r="D13" s="56">
        <f ca="1">_xlfn.XLOOKUP($A13,Calculations!$X$3:$X$14,Calculations!$AE$3:$AE$14)</f>
        <v>6</v>
      </c>
      <c r="E13" s="56">
        <f ca="1">_xlfn.XLOOKUP($A13,Calculations!$X$3:$X$14,Calculations!$AH$3:$AH$14)</f>
        <v>9</v>
      </c>
      <c r="F13" s="56">
        <f ca="1">_xlfn.XLOOKUP($A13,Calculations!$X$3:$X$14,Calculations!$AK$3:$AK$14)</f>
        <v>9</v>
      </c>
      <c r="G13" s="56">
        <f ca="1">_xlfn.XLOOKUP($A13,Calculations!$X$3:$X$14,Calculations!$AN$3:$AN$14)</f>
        <v>8</v>
      </c>
      <c r="H13" s="56">
        <f ca="1">_xlfn.XLOOKUP($A13,Calculations!$X$3:$X$14,Calculations!$AQ$3:$AQ$14)</f>
        <v>8</v>
      </c>
      <c r="I13" s="56">
        <f ca="1">IF(_xlfn.XLOOKUP($A13,Calculations!$X$3:$X$14,Calculations!$AT$3:$AT$14)="",NA(),_xlfn.XLOOKUP($A13,Calculations!$X$3:$X$14,Calculations!$AT$3:$AT$14))</f>
        <v>6</v>
      </c>
      <c r="J13" s="56">
        <f ca="1">IF(_xlfn.XLOOKUP($A13,Calculations!$X$3:$X$14,Calculations!$AW$3:$AW$14)="",NA(),_xlfn.XLOOKUP($A13,Calculations!$X$3:$X$14,Calculations!$AW$3:$AW$14))</f>
        <v>7</v>
      </c>
      <c r="K13" s="56">
        <f ca="1">IF(_xlfn.XLOOKUP($A13,Calculations!$X$3:$X$14,Calculations!$AZ$3:$AZ$14)="",NA(),_xlfn.XLOOKUP($A13,Calculations!$X$3:$X$14,Calculations!$AZ$3:$AZ$14))</f>
        <v>8</v>
      </c>
      <c r="L13" s="56">
        <f ca="1">IF(_xlfn.XLOOKUP($A13,Calculations!$X$3:$X$14,Calculations!$BC$3:$BC$14)="",NA(),_xlfn.XLOOKUP($A13,Calculations!$X$3:$X$14,Calculations!$BC$3:$BC$14))</f>
        <v>7</v>
      </c>
      <c r="M13" s="56">
        <f ca="1">IF(_xlfn.XLOOKUP($A13,Calculations!$X$3:$X$14,Calculations!$BF$3:$BF$14)="",NA(),_xlfn.XLOOKUP($A13,Calculations!$X$3:$X$14,Calculations!$BF$3:$BF$14))</f>
        <v>7</v>
      </c>
      <c r="N13" s="56">
        <f ca="1">IF(_xlfn.XLOOKUP($A13,Calculations!$X$3:$X$14,Calculations!$BI$3:$BI$14)="",NA(),_xlfn.XLOOKUP($A13,Calculations!$X$3:$X$14,Calculations!$BI$3:$BI$14))</f>
        <v>8</v>
      </c>
      <c r="O13" s="56">
        <f ca="1">IF(_xlfn.XLOOKUP($A13,Calculations!$X$3:$X$14,Calculations!$BL$3:$BL$14)="",NA(),_xlfn.XLOOKUP($A13,Calculations!$X$3:$X$14,Calculations!$BL$3:$BL$14))</f>
        <v>7</v>
      </c>
    </row>
    <row r="14" spans="1:15" x14ac:dyDescent="0.25">
      <c r="A14" s="1" t="str">
        <f>IF('Raw Data'!P16="","",'Raw Data'!P16)</f>
        <v>The Rescuers vs Medusa</v>
      </c>
      <c r="B14" s="56">
        <f ca="1">_xlfn.XLOOKUP($A14,Calculations!$X$3:$X$14,Calculations!$Y$3:$Y$14)</f>
        <v>2</v>
      </c>
      <c r="C14" s="56">
        <f ca="1">_xlfn.XLOOKUP($A14,Calculations!$X$3:$X$14,Calculations!$AB$3:$AB$14)</f>
        <v>1</v>
      </c>
      <c r="D14" s="56">
        <f ca="1">_xlfn.XLOOKUP($A14,Calculations!$X$3:$X$14,Calculations!$AE$3:$AE$14)</f>
        <v>1</v>
      </c>
      <c r="E14" s="56">
        <f ca="1">_xlfn.XLOOKUP($A14,Calculations!$X$3:$X$14,Calculations!$AH$3:$AH$14)</f>
        <v>2</v>
      </c>
      <c r="F14" s="56">
        <f ca="1">_xlfn.XLOOKUP($A14,Calculations!$X$3:$X$14,Calculations!$AK$3:$AK$14)</f>
        <v>4</v>
      </c>
      <c r="G14" s="56">
        <f ca="1">_xlfn.XLOOKUP($A14,Calculations!$X$3:$X$14,Calculations!$AN$3:$AN$14)</f>
        <v>5</v>
      </c>
      <c r="H14" s="56">
        <f ca="1">_xlfn.XLOOKUP($A14,Calculations!$X$3:$X$14,Calculations!$AQ$3:$AQ$14)</f>
        <v>3</v>
      </c>
      <c r="I14" s="56">
        <f ca="1">IF(_xlfn.XLOOKUP($A14,Calculations!$X$3:$X$14,Calculations!$AT$3:$AT$14)="",NA(),_xlfn.XLOOKUP($A14,Calculations!$X$3:$X$14,Calculations!$AT$3:$AT$14))</f>
        <v>3</v>
      </c>
      <c r="J14" s="56">
        <f ca="1">IF(_xlfn.XLOOKUP($A14,Calculations!$X$3:$X$14,Calculations!$AW$3:$AW$14)="",NA(),_xlfn.XLOOKUP($A14,Calculations!$X$3:$X$14,Calculations!$AW$3:$AW$14))</f>
        <v>3</v>
      </c>
      <c r="K14" s="56">
        <f ca="1">IF(_xlfn.XLOOKUP($A14,Calculations!$X$3:$X$14,Calculations!$AZ$3:$AZ$14)="",NA(),_xlfn.XLOOKUP($A14,Calculations!$X$3:$X$14,Calculations!$AZ$3:$AZ$14))</f>
        <v>4</v>
      </c>
      <c r="L14" s="56">
        <f ca="1">IF(_xlfn.XLOOKUP($A14,Calculations!$X$3:$X$14,Calculations!$BC$3:$BC$14)="",NA(),_xlfn.XLOOKUP($A14,Calculations!$X$3:$X$14,Calculations!$BC$3:$BC$14))</f>
        <v>5</v>
      </c>
      <c r="M14" s="56">
        <f ca="1">IF(_xlfn.XLOOKUP($A14,Calculations!$X$3:$X$14,Calculations!$BF$3:$BF$14)="",NA(),_xlfn.XLOOKUP($A14,Calculations!$X$3:$X$14,Calculations!$BF$3:$BF$14))</f>
        <v>6</v>
      </c>
      <c r="N14" s="56">
        <f ca="1">IF(_xlfn.XLOOKUP($A14,Calculations!$X$3:$X$14,Calculations!$BI$3:$BI$14)="",NA(),_xlfn.XLOOKUP($A14,Calculations!$X$3:$X$14,Calculations!$BI$3:$BI$14))</f>
        <v>4</v>
      </c>
      <c r="O14" s="56">
        <f ca="1">IF(_xlfn.XLOOKUP($A14,Calculations!$X$3:$X$14,Calculations!$BL$3:$BL$14)="",NA(),_xlfn.XLOOKUP($A14,Calculations!$X$3:$X$14,Calculations!$BL$3:$BL$14))</f>
        <v>4</v>
      </c>
    </row>
    <row r="15" spans="1:15" x14ac:dyDescent="0.25">
      <c r="A15" s="1" t="str">
        <f>IF('Raw Data'!P17="","",'Raw Data'!P17)</f>
        <v/>
      </c>
    </row>
    <row r="16" spans="1:15" ht="20.25" thickBot="1" x14ac:dyDescent="0.35">
      <c r="B16" s="100" t="s">
        <v>38</v>
      </c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</row>
    <row r="17" spans="1:15" ht="15.75" thickTop="1" x14ac:dyDescent="0.25">
      <c r="B17" s="4">
        <v>1</v>
      </c>
      <c r="C17" s="4">
        <v>2</v>
      </c>
      <c r="D17" s="4">
        <v>3</v>
      </c>
      <c r="E17" s="4">
        <v>4</v>
      </c>
      <c r="F17" s="4">
        <v>5</v>
      </c>
      <c r="G17" s="4">
        <v>6</v>
      </c>
      <c r="H17" s="4">
        <v>7</v>
      </c>
      <c r="I17" s="4">
        <v>8</v>
      </c>
      <c r="J17" s="4">
        <v>9</v>
      </c>
      <c r="K17" s="4">
        <v>10</v>
      </c>
      <c r="L17" s="4">
        <v>11</v>
      </c>
      <c r="M17" s="4">
        <v>12</v>
      </c>
      <c r="N17" s="4">
        <v>13</v>
      </c>
      <c r="O17" s="4">
        <v>14</v>
      </c>
    </row>
    <row r="18" spans="1:15" x14ac:dyDescent="0.25">
      <c r="A18" s="1" t="str">
        <f>IF('Raw Data'!P3="","",'Raw Data'!P3)</f>
        <v>Jafar</v>
      </c>
      <c r="B18" s="56">
        <f ca="1">IFERROR(_xlfn.RANK.EQ($B3,$B$3:$B$6,1),NA())</f>
        <v>2</v>
      </c>
      <c r="C18" s="56">
        <f ca="1">IFERROR(_xlfn.RANK.EQ($C3,$C$3:$C$6,1),NA())</f>
        <v>1</v>
      </c>
      <c r="D18" s="56">
        <f ca="1">IFERROR(_xlfn.RANK.EQ($D3,$D$3:$D$6,1),NA())</f>
        <v>2</v>
      </c>
      <c r="E18" s="56">
        <f ca="1">IFERROR(_xlfn.RANK.EQ($E3,$E$3:$E$6,1),NA())</f>
        <v>1</v>
      </c>
      <c r="F18" s="56">
        <f ca="1">IFERROR(_xlfn.RANK.EQ($F3,$F$3:$F$6,1),NA())</f>
        <v>1</v>
      </c>
      <c r="G18" s="56">
        <f ca="1">IFERROR(_xlfn.RANK.EQ($G3,$G$3:$G$6,1),NA())</f>
        <v>1</v>
      </c>
      <c r="H18" s="56">
        <f ca="1">IFERROR(_xlfn.RANK.EQ($H3,$H$3:$H$6,1),NA())</f>
        <v>1</v>
      </c>
      <c r="I18" s="56">
        <f ca="1">IFERROR(_xlfn.RANK.EQ($I3,$I$3:$I$6,1),NA())</f>
        <v>1</v>
      </c>
      <c r="J18" s="56">
        <f ca="1">IFERROR(_xlfn.RANK.EQ($J3,$J$3:$J$6,1),NA())</f>
        <v>2</v>
      </c>
      <c r="K18" s="56">
        <f ca="1">IFERROR(_xlfn.RANK.EQ($K3,$K$3:$K$6,1),NA())</f>
        <v>2</v>
      </c>
      <c r="L18" s="56">
        <f ca="1">IFERROR(_xlfn.RANK.EQ($L3,$L$3:$L$6,1),NA())</f>
        <v>2</v>
      </c>
      <c r="M18" s="56">
        <f ca="1">IFERROR(_xlfn.RANK.EQ($M3,$M$3:$M$6,1),NA())</f>
        <v>2</v>
      </c>
      <c r="N18" s="56">
        <f ca="1">IFERROR(_xlfn.RANK.EQ($N3,$N$3:$N$6,1),NA())</f>
        <v>2</v>
      </c>
      <c r="O18" s="56">
        <f ca="1">IFERROR(_xlfn.RANK.EQ($O3,$O$3:$O$6,1),NA())</f>
        <v>2</v>
      </c>
    </row>
    <row r="19" spans="1:15" x14ac:dyDescent="0.25">
      <c r="A19" s="1" t="str">
        <f>IF('Raw Data'!P4="","",'Raw Data'!P4)</f>
        <v>The Goob Troop</v>
      </c>
      <c r="B19" s="56">
        <f ca="1">IFERROR(_xlfn.RANK.EQ($B4,$B$3:$B$6,1),NA())</f>
        <v>4</v>
      </c>
      <c r="C19" s="56">
        <f ca="1">IFERROR(_xlfn.RANK.EQ($C4,$C$3:$C$6,1),NA())</f>
        <v>4</v>
      </c>
      <c r="D19" s="56">
        <f ca="1">IFERROR(_xlfn.RANK.EQ($D4,$D$3:$D$6,1),NA())</f>
        <v>4</v>
      </c>
      <c r="E19" s="56">
        <f ca="1">IFERROR(_xlfn.RANK.EQ($E4,$E$3:$E$6,1),NA())</f>
        <v>4</v>
      </c>
      <c r="F19" s="56">
        <f ca="1">IFERROR(_xlfn.RANK.EQ($F4,$F$3:$F$6,1),NA())</f>
        <v>4</v>
      </c>
      <c r="G19" s="56">
        <f ca="1">IFERROR(_xlfn.RANK.EQ($G4,$G$3:$G$6,1),NA())</f>
        <v>4</v>
      </c>
      <c r="H19" s="56">
        <f ca="1">IFERROR(_xlfn.RANK.EQ($H4,$H$3:$H$6,1),NA())</f>
        <v>4</v>
      </c>
      <c r="I19" s="56">
        <f ca="1">IFERROR(_xlfn.RANK.EQ($I4,$I$3:$I$6,1),NA())</f>
        <v>4</v>
      </c>
      <c r="J19" s="56">
        <f ca="1">IFERROR(_xlfn.RANK.EQ($J4,$J$3:$J$6,1),NA())</f>
        <v>4</v>
      </c>
      <c r="K19" s="56">
        <f ca="1">IFERROR(_xlfn.RANK.EQ($K4,$K$3:$K$6,1),NA())</f>
        <v>4</v>
      </c>
      <c r="L19" s="56">
        <f ca="1">IFERROR(_xlfn.RANK.EQ($L4,$L$3:$L$6,1),NA())</f>
        <v>4</v>
      </c>
      <c r="M19" s="56">
        <f ca="1">IFERROR(_xlfn.RANK.EQ($M4,$M$3:$M$6,1),NA())</f>
        <v>4</v>
      </c>
      <c r="N19" s="56">
        <f ca="1">IFERROR(_xlfn.RANK.EQ($N4,$N$3:$N$6,1),NA())</f>
        <v>4</v>
      </c>
      <c r="O19" s="56">
        <f ca="1">IFERROR(_xlfn.RANK.EQ($O4,$O$3:$O$6,1),NA())</f>
        <v>4</v>
      </c>
    </row>
    <row r="20" spans="1:15" x14ac:dyDescent="0.25">
      <c r="A20" s="1" t="str">
        <f>IF('Raw Data'!P5="","",'Raw Data'!P5)</f>
        <v>Herbie's Honkers</v>
      </c>
      <c r="B20" s="56">
        <f ca="1">IFERROR(_xlfn.RANK.EQ($B5,$B$3:$B$6,1),NA())</f>
        <v>1</v>
      </c>
      <c r="C20" s="56">
        <f ca="1">IFERROR(_xlfn.RANK.EQ($C5,$C$3:$C$6,1),NA())</f>
        <v>2</v>
      </c>
      <c r="D20" s="56">
        <f ca="1">IFERROR(_xlfn.RANK.EQ($D5,$D$3:$D$6,1),NA())</f>
        <v>1</v>
      </c>
      <c r="E20" s="56">
        <f ca="1">IFERROR(_xlfn.RANK.EQ($E5,$E$3:$E$6,1),NA())</f>
        <v>2</v>
      </c>
      <c r="F20" s="56">
        <f ca="1">IFERROR(_xlfn.RANK.EQ($F5,$F$3:$F$6,1),NA())</f>
        <v>2</v>
      </c>
      <c r="G20" s="56">
        <f ca="1">IFERROR(_xlfn.RANK.EQ($G5,$G$3:$G$6,1),NA())</f>
        <v>2</v>
      </c>
      <c r="H20" s="56">
        <f ca="1">IFERROR(_xlfn.RANK.EQ($H5,$H$3:$H$6,1),NA())</f>
        <v>2</v>
      </c>
      <c r="I20" s="56">
        <f ca="1">IFERROR(_xlfn.RANK.EQ($I5,$I$3:$I$6,1),NA())</f>
        <v>2</v>
      </c>
      <c r="J20" s="56">
        <f ca="1">IFERROR(_xlfn.RANK.EQ($J5,$J$3:$J$6,1),NA())</f>
        <v>1</v>
      </c>
      <c r="K20" s="56">
        <f ca="1">IFERROR(_xlfn.RANK.EQ($K5,$K$3:$K$6,1),NA())</f>
        <v>1</v>
      </c>
      <c r="L20" s="56">
        <f ca="1">IFERROR(_xlfn.RANK.EQ($L5,$L$3:$L$6,1),NA())</f>
        <v>1</v>
      </c>
      <c r="M20" s="56">
        <f ca="1">IFERROR(_xlfn.RANK.EQ($M5,$M$3:$M$6,1),NA())</f>
        <v>1</v>
      </c>
      <c r="N20" s="56">
        <f ca="1">IFERROR(_xlfn.RANK.EQ($N5,$N$3:$N$6,1),NA())</f>
        <v>1</v>
      </c>
      <c r="O20" s="56">
        <f ca="1">IFERROR(_xlfn.RANK.EQ($O5,$O$3:$O$6,1),NA())</f>
        <v>1</v>
      </c>
    </row>
    <row r="21" spans="1:15" x14ac:dyDescent="0.25">
      <c r="A21" s="1" t="str">
        <f>IF('Raw Data'!P6="","",'Raw Data'!P6)</f>
        <v>Stupid Smartass Psycho</v>
      </c>
      <c r="B21" s="56">
        <f ca="1">IFERROR(_xlfn.RANK.EQ($B6,$B$3:$B$6,1),NA())</f>
        <v>3</v>
      </c>
      <c r="C21" s="56">
        <f ca="1">IFERROR(_xlfn.RANK.EQ($C6,$C$3:$C$6,1),NA())</f>
        <v>3</v>
      </c>
      <c r="D21" s="56">
        <f ca="1">IFERROR(_xlfn.RANK.EQ($D6,$D$3:$D$6,1),NA())</f>
        <v>3</v>
      </c>
      <c r="E21" s="56">
        <f ca="1">IFERROR(_xlfn.RANK.EQ($E6,$E$3:$E$6,1),NA())</f>
        <v>3</v>
      </c>
      <c r="F21" s="56">
        <f ca="1">IFERROR(_xlfn.RANK.EQ($F6,$F$3:$F$6,1),NA())</f>
        <v>3</v>
      </c>
      <c r="G21" s="56">
        <f ca="1">IFERROR(_xlfn.RANK.EQ($G6,$G$3:$G$6,1),NA())</f>
        <v>3</v>
      </c>
      <c r="H21" s="56">
        <f ca="1">IFERROR(_xlfn.RANK.EQ($H6,$H$3:$H$6,1),NA())</f>
        <v>3</v>
      </c>
      <c r="I21" s="56">
        <f ca="1">IFERROR(_xlfn.RANK.EQ($I6,$I$3:$I$6,1),NA())</f>
        <v>3</v>
      </c>
      <c r="J21" s="56">
        <f ca="1">IFERROR(_xlfn.RANK.EQ($J6,$J$3:$J$6,1),NA())</f>
        <v>3</v>
      </c>
      <c r="K21" s="56">
        <f ca="1">IFERROR(_xlfn.RANK.EQ($K6,$K$3:$K$6,1),NA())</f>
        <v>3</v>
      </c>
      <c r="L21" s="56">
        <f ca="1">IFERROR(_xlfn.RANK.EQ($L6,$L$3:$L$6,1),NA())</f>
        <v>3</v>
      </c>
      <c r="M21" s="56">
        <f ca="1">IFERROR(_xlfn.RANK.EQ($M6,$M$3:$M$6,1),NA())</f>
        <v>3</v>
      </c>
      <c r="N21" s="56">
        <f ca="1">IFERROR(_xlfn.RANK.EQ($N6,$N$3:$N$6,1),NA())</f>
        <v>3</v>
      </c>
      <c r="O21" s="56">
        <f ca="1">IFERROR(_xlfn.RANK.EQ($O6,$O$3:$O$6,1),NA())</f>
        <v>3</v>
      </c>
    </row>
    <row r="22" spans="1:15" x14ac:dyDescent="0.25">
      <c r="A22" s="1" t="str">
        <f>IF('Raw Data'!P7="","",'Raw Data'!P7)</f>
        <v/>
      </c>
    </row>
    <row r="23" spans="1:15" x14ac:dyDescent="0.25">
      <c r="A23" s="1" t="str">
        <f>IF('Raw Data'!P8="","",'Raw Data'!P8)</f>
        <v>SqueakSqueakinSqueakSqueakity</v>
      </c>
      <c r="B23" s="56">
        <f ca="1">IFERROR(_xlfn.RANK.EQ($B7,$B$7:$B$10,1),NA())</f>
        <v>1</v>
      </c>
      <c r="C23" s="56">
        <f ca="1">IFERROR(_xlfn.RANK.EQ($C7,$C$7:$C$10,1),NA())</f>
        <v>3</v>
      </c>
      <c r="D23" s="56">
        <f ca="1">IFERROR(_xlfn.RANK.EQ($D7,$D$7:$D$10,1),NA())</f>
        <v>3</v>
      </c>
      <c r="E23" s="56">
        <f ca="1">IFERROR(_xlfn.RANK.EQ($E7,$E$7:$E$10,1),NA())</f>
        <v>1</v>
      </c>
      <c r="F23" s="56">
        <f ca="1">IFERROR(_xlfn.RANK.EQ($F7,$F$7:$F$10,1),NA())</f>
        <v>1</v>
      </c>
      <c r="G23" s="56">
        <f ca="1">IFERROR(_xlfn.RANK.EQ($G7,$G$7:$G$10,1),NA())</f>
        <v>1</v>
      </c>
      <c r="H23" s="56">
        <f ca="1">IFERROR(_xlfn.RANK.EQ($H7,$H$7:$H$10,1),NA())</f>
        <v>1</v>
      </c>
      <c r="I23" s="56">
        <f ca="1">IFERROR(_xlfn.RANK.EQ($I7,$I$7:$I$10,1),NA())</f>
        <v>1</v>
      </c>
      <c r="J23" s="56">
        <f ca="1">IFERROR(_xlfn.RANK.EQ($J7,$J$7:$J$10,1),NA())</f>
        <v>1</v>
      </c>
      <c r="K23" s="56">
        <f ca="1">IFERROR(_xlfn.RANK.EQ($K7,$K$7:$K$10,1),NA())</f>
        <v>1</v>
      </c>
      <c r="L23" s="56">
        <f ca="1">IFERROR(_xlfn.RANK.EQ($L7,$L$7:$L$10,1),NA())</f>
        <v>1</v>
      </c>
      <c r="M23" s="56">
        <f ca="1">IFERROR(_xlfn.RANK.EQ($M7,$M$7:$M$10,1),NA())</f>
        <v>1</v>
      </c>
      <c r="N23" s="56">
        <f ca="1">IFERROR(_xlfn.RANK.EQ($N7,$N$7:$N$10,1),NA())</f>
        <v>1</v>
      </c>
      <c r="O23" s="56">
        <f ca="1">IFERROR(_xlfn.RANK.EQ($O7,$O$7:$O$10,1),NA())</f>
        <v>1</v>
      </c>
    </row>
    <row r="24" spans="1:15" x14ac:dyDescent="0.25">
      <c r="A24" s="1" t="str">
        <f>IF('Raw Data'!P9="","",'Raw Data'!P9)</f>
        <v>We're all mad here</v>
      </c>
      <c r="B24" s="56">
        <f ca="1">IFERROR(_xlfn.RANK.EQ($B8,$B$7:$B$10,1),NA())</f>
        <v>3</v>
      </c>
      <c r="C24" s="56">
        <f ca="1">IFERROR(_xlfn.RANK.EQ($C8,$C$7:$C$10,1),NA())</f>
        <v>2</v>
      </c>
      <c r="D24" s="56">
        <f ca="1">IFERROR(_xlfn.RANK.EQ($D8,$D$7:$D$10,1),NA())</f>
        <v>1</v>
      </c>
      <c r="E24" s="56">
        <f ca="1">IFERROR(_xlfn.RANK.EQ($E8,$E$7:$E$10,1),NA())</f>
        <v>3</v>
      </c>
      <c r="F24" s="56">
        <f ca="1">IFERROR(_xlfn.RANK.EQ($F8,$F$7:$F$10,1),NA())</f>
        <v>2</v>
      </c>
      <c r="G24" s="56">
        <f ca="1">IFERROR(_xlfn.RANK.EQ($G8,$G$7:$G$10,1),NA())</f>
        <v>2</v>
      </c>
      <c r="H24" s="56">
        <f ca="1">IFERROR(_xlfn.RANK.EQ($H8,$H$7:$H$10,1),NA())</f>
        <v>2</v>
      </c>
      <c r="I24" s="56">
        <f ca="1">IFERROR(_xlfn.RANK.EQ($I8,$I$7:$I$10,1),NA())</f>
        <v>2</v>
      </c>
      <c r="J24" s="56">
        <f ca="1">IFERROR(_xlfn.RANK.EQ($J8,$J$7:$J$10,1),NA())</f>
        <v>2</v>
      </c>
      <c r="K24" s="56">
        <f ca="1">IFERROR(_xlfn.RANK.EQ($K8,$K$7:$K$10,1),NA())</f>
        <v>2</v>
      </c>
      <c r="L24" s="56">
        <f ca="1">IFERROR(_xlfn.RANK.EQ($L8,$L$7:$L$10,1),NA())</f>
        <v>2</v>
      </c>
      <c r="M24" s="56">
        <f ca="1">IFERROR(_xlfn.RANK.EQ($M8,$M$7:$M$10,1),NA())</f>
        <v>2</v>
      </c>
      <c r="N24" s="56">
        <f ca="1">IFERROR(_xlfn.RANK.EQ($N8,$N$7:$N$10,1),NA())</f>
        <v>2</v>
      </c>
      <c r="O24" s="56">
        <f ca="1">IFERROR(_xlfn.RANK.EQ($O8,$O$7:$O$10,1),NA())</f>
        <v>2</v>
      </c>
    </row>
    <row r="25" spans="1:15" x14ac:dyDescent="0.25">
      <c r="A25" s="1" t="str">
        <f>IF('Raw Data'!P10="","",'Raw Data'!P10)</f>
        <v>Tick Tock the Crocodile</v>
      </c>
      <c r="B25" s="56">
        <f ca="1">IFERROR(_xlfn.RANK.EQ($B9,$B$7:$B$10,1),NA())</f>
        <v>2</v>
      </c>
      <c r="C25" s="56">
        <f ca="1">IFERROR(_xlfn.RANK.EQ($C9,$C$7:$C$10,1),NA())</f>
        <v>1</v>
      </c>
      <c r="D25" s="56">
        <f ca="1">IFERROR(_xlfn.RANK.EQ($D9,$D$7:$D$10,1),NA())</f>
        <v>2</v>
      </c>
      <c r="E25" s="56">
        <f ca="1">IFERROR(_xlfn.RANK.EQ($E9,$E$7:$E$10,1),NA())</f>
        <v>2</v>
      </c>
      <c r="F25" s="56">
        <f ca="1">IFERROR(_xlfn.RANK.EQ($F9,$F$7:$F$10,1),NA())</f>
        <v>3</v>
      </c>
      <c r="G25" s="56">
        <f ca="1">IFERROR(_xlfn.RANK.EQ($G9,$G$7:$G$10,1),NA())</f>
        <v>3</v>
      </c>
      <c r="H25" s="56">
        <f ca="1">IFERROR(_xlfn.RANK.EQ($H9,$H$7:$H$10,1),NA())</f>
        <v>3</v>
      </c>
      <c r="I25" s="56">
        <f ca="1">IFERROR(_xlfn.RANK.EQ($I9,$I$7:$I$10,1),NA())</f>
        <v>3</v>
      </c>
      <c r="J25" s="56">
        <f ca="1">IFERROR(_xlfn.RANK.EQ($J9,$J$7:$J$10,1),NA())</f>
        <v>3</v>
      </c>
      <c r="K25" s="56">
        <f ca="1">IFERROR(_xlfn.RANK.EQ($K9,$K$7:$K$10,1),NA())</f>
        <v>4</v>
      </c>
      <c r="L25" s="56">
        <f ca="1">IFERROR(_xlfn.RANK.EQ($L9,$L$7:$L$10,1),NA())</f>
        <v>3</v>
      </c>
      <c r="M25" s="56">
        <f ca="1">IFERROR(_xlfn.RANK.EQ($M9,$M$7:$M$10,1),NA())</f>
        <v>4</v>
      </c>
      <c r="N25" s="56">
        <f ca="1">IFERROR(_xlfn.RANK.EQ($N9,$N$7:$N$10,1),NA())</f>
        <v>3</v>
      </c>
      <c r="O25" s="56">
        <f ca="1">IFERROR(_xlfn.RANK.EQ($O9,$O$7:$O$10,1),NA())</f>
        <v>3</v>
      </c>
    </row>
    <row r="26" spans="1:15" x14ac:dyDescent="0.25">
      <c r="A26" s="1" t="str">
        <f>IF('Raw Data'!P11="","",'Raw Data'!P11)</f>
        <v>Aladdin Jazerra</v>
      </c>
      <c r="B26" s="56">
        <f ca="1">IFERROR(_xlfn.RANK.EQ($B10,$B$7:$B$10,1),NA())</f>
        <v>4</v>
      </c>
      <c r="C26" s="56">
        <f ca="1">IFERROR(_xlfn.RANK.EQ($C10,$C$7:$C$10,1),NA())</f>
        <v>4</v>
      </c>
      <c r="D26" s="56">
        <f ca="1">IFERROR(_xlfn.RANK.EQ($D10,$D$7:$D$10,1),NA())</f>
        <v>4</v>
      </c>
      <c r="E26" s="56">
        <f ca="1">IFERROR(_xlfn.RANK.EQ($E10,$E$7:$E$10,1),NA())</f>
        <v>4</v>
      </c>
      <c r="F26" s="56">
        <f ca="1">IFERROR(_xlfn.RANK.EQ($F10,$F$7:$F$10,1),NA())</f>
        <v>4</v>
      </c>
      <c r="G26" s="56">
        <f ca="1">IFERROR(_xlfn.RANK.EQ($G10,$G$7:$G$10,1),NA())</f>
        <v>4</v>
      </c>
      <c r="H26" s="56">
        <f ca="1">IFERROR(_xlfn.RANK.EQ($H10,$H$7:$H$10,1),NA())</f>
        <v>4</v>
      </c>
      <c r="I26" s="56">
        <f ca="1">IFERROR(_xlfn.RANK.EQ($I10,$I$7:$I$10,1),NA())</f>
        <v>4</v>
      </c>
      <c r="J26" s="56">
        <f ca="1">IFERROR(_xlfn.RANK.EQ($J10,$J$7:$J$10,1),NA())</f>
        <v>4</v>
      </c>
      <c r="K26" s="56">
        <f ca="1">IFERROR(_xlfn.RANK.EQ($K10,$K$7:$K$10,1),NA())</f>
        <v>3</v>
      </c>
      <c r="L26" s="56">
        <f ca="1">IFERROR(_xlfn.RANK.EQ($L10,$L$7:$L$10,1),NA())</f>
        <v>4</v>
      </c>
      <c r="M26" s="56">
        <f ca="1">IFERROR(_xlfn.RANK.EQ($M10,$M$7:$M$10,1),NA())</f>
        <v>3</v>
      </c>
      <c r="N26" s="56">
        <f ca="1">IFERROR(_xlfn.RANK.EQ($N10,$N$7:$N$10,1),NA())</f>
        <v>4</v>
      </c>
      <c r="O26" s="56">
        <f ca="1">IFERROR(_xlfn.RANK.EQ($O10,$O$7:$O$10,1),NA())</f>
        <v>4</v>
      </c>
    </row>
    <row r="27" spans="1:15" x14ac:dyDescent="0.25">
      <c r="A27" s="1" t="str">
        <f>IF('Raw Data'!P12="","",'Raw Data'!P12)</f>
        <v/>
      </c>
    </row>
    <row r="28" spans="1:15" x14ac:dyDescent="0.25">
      <c r="A28" s="1" t="str">
        <f>IF('Raw Data'!P13="","",'Raw Data'!P13)</f>
        <v>Prince Abooboo</v>
      </c>
      <c r="B28" s="56">
        <f ca="1">IFERROR(_xlfn.RANK.EQ($B11,$B$11:$B$14,1),NA())</f>
        <v>2</v>
      </c>
      <c r="C28" s="56">
        <f ca="1">IFERROR(_xlfn.RANK.EQ($C11,$C$11:$C$14,1),NA())</f>
        <v>2</v>
      </c>
      <c r="D28" s="56">
        <f ca="1">IFERROR(_xlfn.RANK.EQ($D11,$D$11:$D$14,1),NA())</f>
        <v>2</v>
      </c>
      <c r="E28" s="56">
        <f ca="1">IFERROR(_xlfn.RANK.EQ($E11,$E$11:$E$14,1),NA())</f>
        <v>2</v>
      </c>
      <c r="F28" s="56">
        <f ca="1">IFERROR(_xlfn.RANK.EQ($F11,$F$11:$F$14,1),NA())</f>
        <v>1</v>
      </c>
      <c r="G28" s="56">
        <f ca="1">IFERROR(_xlfn.RANK.EQ($G11,$G$11:$G$14,1),NA())</f>
        <v>1</v>
      </c>
      <c r="H28" s="56">
        <f ca="1">IFERROR(_xlfn.RANK.EQ($H11,$H$11:$H$14,1),NA())</f>
        <v>2</v>
      </c>
      <c r="I28" s="56">
        <f ca="1">IFERROR(_xlfn.RANK.EQ($I11,$I$11:$I$14,1),NA())</f>
        <v>3</v>
      </c>
      <c r="J28" s="56">
        <f ca="1">IFERROR(_xlfn.RANK.EQ($J11,$J$11:$J$14,1),NA())</f>
        <v>2</v>
      </c>
      <c r="K28" s="56">
        <f ca="1">IFERROR(_xlfn.RANK.EQ($K11,$K$11:$K$14,1),NA())</f>
        <v>2</v>
      </c>
      <c r="L28" s="56">
        <f ca="1">IFERROR(_xlfn.RANK.EQ($L11,$L$11:$L$14,1),NA())</f>
        <v>2</v>
      </c>
      <c r="M28" s="56">
        <f ca="1">IFERROR(_xlfn.RANK.EQ($M11,$M$11:$M$14,1),NA())</f>
        <v>1</v>
      </c>
      <c r="N28" s="56">
        <f ca="1">IFERROR(_xlfn.RANK.EQ($N11,$N$11:$N$14,1),NA())</f>
        <v>2</v>
      </c>
      <c r="O28" s="56">
        <f ca="1">IFERROR(_xlfn.RANK.EQ($O11,$O$11:$O$14,1),NA())</f>
        <v>2</v>
      </c>
    </row>
    <row r="29" spans="1:15" x14ac:dyDescent="0.25">
      <c r="A29" s="1" t="str">
        <f>IF('Raw Data'!P14="","",'Raw Data'!P14)</f>
        <v>Wrong Lever!</v>
      </c>
      <c r="B29" s="56">
        <f ca="1">IFERROR(_xlfn.RANK.EQ($B12,$B$11:$B$14,1),NA())</f>
        <v>4</v>
      </c>
      <c r="C29" s="56">
        <f ca="1">IFERROR(_xlfn.RANK.EQ($C12,$C$11:$C$14,1),NA())</f>
        <v>4</v>
      </c>
      <c r="D29" s="56">
        <f ca="1">IFERROR(_xlfn.RANK.EQ($D12,$D$11:$D$14,1),NA())</f>
        <v>4</v>
      </c>
      <c r="E29" s="56">
        <f ca="1">IFERROR(_xlfn.RANK.EQ($E12,$E$11:$E$14,1),NA())</f>
        <v>4</v>
      </c>
      <c r="F29" s="56">
        <f ca="1">IFERROR(_xlfn.RANK.EQ($F12,$F$11:$F$14,1),NA())</f>
        <v>4</v>
      </c>
      <c r="G29" s="56">
        <f ca="1">IFERROR(_xlfn.RANK.EQ($G12,$G$11:$G$14,1),NA())</f>
        <v>4</v>
      </c>
      <c r="H29" s="56">
        <f ca="1">IFERROR(_xlfn.RANK.EQ($H12,$H$11:$H$14,1),NA())</f>
        <v>4</v>
      </c>
      <c r="I29" s="56">
        <f ca="1">IFERROR(_xlfn.RANK.EQ($I12,$I$11:$I$14,1),NA())</f>
        <v>4</v>
      </c>
      <c r="J29" s="56">
        <f ca="1">IFERROR(_xlfn.RANK.EQ($J12,$J$11:$J$14,1),NA())</f>
        <v>4</v>
      </c>
      <c r="K29" s="56">
        <f ca="1">IFERROR(_xlfn.RANK.EQ($K12,$K$11:$K$14,1),NA())</f>
        <v>4</v>
      </c>
      <c r="L29" s="56">
        <f ca="1">IFERROR(_xlfn.RANK.EQ($L12,$L$11:$L$14,1),NA())</f>
        <v>4</v>
      </c>
      <c r="M29" s="56">
        <f ca="1">IFERROR(_xlfn.RANK.EQ($M12,$M$11:$M$14,1),NA())</f>
        <v>4</v>
      </c>
      <c r="N29" s="56">
        <f ca="1">IFERROR(_xlfn.RANK.EQ($N12,$N$11:$N$14,1),NA())</f>
        <v>4</v>
      </c>
      <c r="O29" s="56">
        <f ca="1">IFERROR(_xlfn.RANK.EQ($O12,$O$11:$O$14,1),NA())</f>
        <v>4</v>
      </c>
    </row>
    <row r="30" spans="1:15" x14ac:dyDescent="0.25">
      <c r="A30" s="1" t="str">
        <f>IF('Raw Data'!P15="","",'Raw Data'!P15)</f>
        <v>5 Dozen Eggs by Gaston</v>
      </c>
      <c r="B30" s="56">
        <f ca="1">IFERROR(_xlfn.RANK.EQ($B13,$B$11:$B$14,1),NA())</f>
        <v>3</v>
      </c>
      <c r="C30" s="56">
        <f ca="1">IFERROR(_xlfn.RANK.EQ($C13,$C$11:$C$14,1),NA())</f>
        <v>3</v>
      </c>
      <c r="D30" s="56">
        <f ca="1">IFERROR(_xlfn.RANK.EQ($D13,$D$11:$D$14,1),NA())</f>
        <v>3</v>
      </c>
      <c r="E30" s="56">
        <f ca="1">IFERROR(_xlfn.RANK.EQ($E13,$E$11:$E$14,1),NA())</f>
        <v>3</v>
      </c>
      <c r="F30" s="56">
        <f ca="1">IFERROR(_xlfn.RANK.EQ($F13,$F$11:$F$14,1),NA())</f>
        <v>3</v>
      </c>
      <c r="G30" s="56">
        <f ca="1">IFERROR(_xlfn.RANK.EQ($G13,$G$11:$G$14,1),NA())</f>
        <v>3</v>
      </c>
      <c r="H30" s="56">
        <f ca="1">IFERROR(_xlfn.RANK.EQ($H13,$H$11:$H$14,1),NA())</f>
        <v>3</v>
      </c>
      <c r="I30" s="56">
        <f ca="1">IFERROR(_xlfn.RANK.EQ($I13,$I$11:$I$14,1),NA())</f>
        <v>2</v>
      </c>
      <c r="J30" s="56">
        <f ca="1">IFERROR(_xlfn.RANK.EQ($J13,$J$11:$J$14,1),NA())</f>
        <v>3</v>
      </c>
      <c r="K30" s="56">
        <f ca="1">IFERROR(_xlfn.RANK.EQ($K13,$K$11:$K$14,1),NA())</f>
        <v>3</v>
      </c>
      <c r="L30" s="56">
        <f ca="1">IFERROR(_xlfn.RANK.EQ($L13,$L$11:$L$14,1),NA())</f>
        <v>3</v>
      </c>
      <c r="M30" s="56">
        <f ca="1">IFERROR(_xlfn.RANK.EQ($M13,$M$11:$M$14,1),NA())</f>
        <v>3</v>
      </c>
      <c r="N30" s="56">
        <f ca="1">IFERROR(_xlfn.RANK.EQ($N13,$N$11:$N$14,1),NA())</f>
        <v>3</v>
      </c>
      <c r="O30" s="56">
        <f ca="1">IFERROR(_xlfn.RANK.EQ($O13,$O$11:$O$14,1),NA())</f>
        <v>3</v>
      </c>
    </row>
    <row r="31" spans="1:15" x14ac:dyDescent="0.25">
      <c r="A31" s="1" t="str">
        <f>IF('Raw Data'!P16="","",'Raw Data'!P16)</f>
        <v>The Rescuers vs Medusa</v>
      </c>
      <c r="B31" s="56">
        <f ca="1">IFERROR(_xlfn.RANK.EQ($B14,$B$11:$B$14,1),NA())</f>
        <v>1</v>
      </c>
      <c r="C31" s="56">
        <f ca="1">IFERROR(_xlfn.RANK.EQ($C14,$C$11:$C$14,1),NA())</f>
        <v>1</v>
      </c>
      <c r="D31" s="56">
        <f ca="1">IFERROR(_xlfn.RANK.EQ($D14,$D$11:$D$14,1),NA())</f>
        <v>1</v>
      </c>
      <c r="E31" s="56">
        <f ca="1">IFERROR(_xlfn.RANK.EQ($E14,$E$11:$E$14,1),NA())</f>
        <v>1</v>
      </c>
      <c r="F31" s="56">
        <f ca="1">IFERROR(_xlfn.RANK.EQ($F14,$F$11:$F$14,1),NA())</f>
        <v>2</v>
      </c>
      <c r="G31" s="56">
        <f ca="1">IFERROR(_xlfn.RANK.EQ($G14,$G$11:$G$14,1),NA())</f>
        <v>2</v>
      </c>
      <c r="H31" s="56">
        <f ca="1">IFERROR(_xlfn.RANK.EQ($H14,$H$11:$H$14,1),NA())</f>
        <v>1</v>
      </c>
      <c r="I31" s="56">
        <f ca="1">IFERROR(_xlfn.RANK.EQ($I14,$I$11:$I$14,1),NA())</f>
        <v>1</v>
      </c>
      <c r="J31" s="56">
        <f ca="1">IFERROR(_xlfn.RANK.EQ($J14,$J$11:$J$14,1),NA())</f>
        <v>1</v>
      </c>
      <c r="K31" s="56">
        <f ca="1">IFERROR(_xlfn.RANK.EQ($K14,$K$11:$K$14,1),NA())</f>
        <v>1</v>
      </c>
      <c r="L31" s="56">
        <f ca="1">IFERROR(_xlfn.RANK.EQ($L14,$L$11:$L$14,1),NA())</f>
        <v>1</v>
      </c>
      <c r="M31" s="56">
        <f ca="1">IFERROR(_xlfn.RANK.EQ($M14,$M$11:$M$14,1),NA())</f>
        <v>2</v>
      </c>
      <c r="N31" s="56">
        <f ca="1">IFERROR(_xlfn.RANK.EQ($N14,$N$11:$N$14,1),NA())</f>
        <v>1</v>
      </c>
      <c r="O31" s="56">
        <f ca="1">IFERROR(_xlfn.RANK.EQ($O14,$O$11:$O$14,1),NA())</f>
        <v>1</v>
      </c>
    </row>
  </sheetData>
  <mergeCells count="2">
    <mergeCell ref="B1:O1"/>
    <mergeCell ref="B16:O16"/>
  </mergeCells>
  <phoneticPr fontId="5" type="noConversion"/>
  <conditionalFormatting sqref="B3:O14">
    <cfRule type="expression" dxfId="3" priority="1">
      <formula>ISNA(B3)</formula>
    </cfRule>
  </conditionalFormatting>
  <conditionalFormatting sqref="B18:O21">
    <cfRule type="expression" dxfId="2" priority="7">
      <formula>ISNA(B18)</formula>
    </cfRule>
  </conditionalFormatting>
  <conditionalFormatting sqref="B23:O26">
    <cfRule type="expression" dxfId="1" priority="4">
      <formula>ISNA(B23)</formula>
    </cfRule>
  </conditionalFormatting>
  <conditionalFormatting sqref="B28:O31">
    <cfRule type="expression" dxfId="0" priority="3">
      <formula>ISNA(B28)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785CB-4238-45CA-8A94-78832CFD7960}">
  <sheetPr>
    <tabColor rgb="FFFFC000"/>
  </sheetPr>
  <dimension ref="B1:AV26"/>
  <sheetViews>
    <sheetView showGridLines="0" workbookViewId="0">
      <selection activeCell="G22" sqref="G22"/>
    </sheetView>
  </sheetViews>
  <sheetFormatPr defaultColWidth="9.140625" defaultRowHeight="12.75" x14ac:dyDescent="0.2"/>
  <cols>
    <col min="1" max="1" width="3.7109375" style="39" customWidth="1"/>
    <col min="2" max="2" width="14.85546875" style="38" bestFit="1" customWidth="1"/>
    <col min="3" max="46" width="4.28515625" style="39" customWidth="1"/>
    <col min="47" max="47" width="3.7109375" style="39" customWidth="1"/>
    <col min="48" max="48" width="9.140625" style="39" hidden="1" customWidth="1"/>
    <col min="49" max="262" width="9.140625" style="39"/>
    <col min="263" max="263" width="16.7109375" style="39" bestFit="1" customWidth="1"/>
    <col min="264" max="277" width="3.7109375" style="39" customWidth="1"/>
    <col min="278" max="279" width="4.28515625" style="39" customWidth="1"/>
    <col min="280" max="301" width="3.7109375" style="39" customWidth="1"/>
    <col min="302" max="518" width="9.140625" style="39"/>
    <col min="519" max="519" width="16.7109375" style="39" bestFit="1" customWidth="1"/>
    <col min="520" max="533" width="3.7109375" style="39" customWidth="1"/>
    <col min="534" max="535" width="4.28515625" style="39" customWidth="1"/>
    <col min="536" max="557" width="3.7109375" style="39" customWidth="1"/>
    <col min="558" max="774" width="9.140625" style="39"/>
    <col min="775" max="775" width="16.7109375" style="39" bestFit="1" customWidth="1"/>
    <col min="776" max="789" width="3.7109375" style="39" customWidth="1"/>
    <col min="790" max="791" width="4.28515625" style="39" customWidth="1"/>
    <col min="792" max="813" width="3.7109375" style="39" customWidth="1"/>
    <col min="814" max="1030" width="9.140625" style="39"/>
    <col min="1031" max="1031" width="16.7109375" style="39" bestFit="1" customWidth="1"/>
    <col min="1032" max="1045" width="3.7109375" style="39" customWidth="1"/>
    <col min="1046" max="1047" width="4.28515625" style="39" customWidth="1"/>
    <col min="1048" max="1069" width="3.7109375" style="39" customWidth="1"/>
    <col min="1070" max="1286" width="9.140625" style="39"/>
    <col min="1287" max="1287" width="16.7109375" style="39" bestFit="1" customWidth="1"/>
    <col min="1288" max="1301" width="3.7109375" style="39" customWidth="1"/>
    <col min="1302" max="1303" width="4.28515625" style="39" customWidth="1"/>
    <col min="1304" max="1325" width="3.7109375" style="39" customWidth="1"/>
    <col min="1326" max="1542" width="9.140625" style="39"/>
    <col min="1543" max="1543" width="16.7109375" style="39" bestFit="1" customWidth="1"/>
    <col min="1544" max="1557" width="3.7109375" style="39" customWidth="1"/>
    <col min="1558" max="1559" width="4.28515625" style="39" customWidth="1"/>
    <col min="1560" max="1581" width="3.7109375" style="39" customWidth="1"/>
    <col min="1582" max="1798" width="9.140625" style="39"/>
    <col min="1799" max="1799" width="16.7109375" style="39" bestFit="1" customWidth="1"/>
    <col min="1800" max="1813" width="3.7109375" style="39" customWidth="1"/>
    <col min="1814" max="1815" width="4.28515625" style="39" customWidth="1"/>
    <col min="1816" max="1837" width="3.7109375" style="39" customWidth="1"/>
    <col min="1838" max="2054" width="9.140625" style="39"/>
    <col min="2055" max="2055" width="16.7109375" style="39" bestFit="1" customWidth="1"/>
    <col min="2056" max="2069" width="3.7109375" style="39" customWidth="1"/>
    <col min="2070" max="2071" width="4.28515625" style="39" customWidth="1"/>
    <col min="2072" max="2093" width="3.7109375" style="39" customWidth="1"/>
    <col min="2094" max="2310" width="9.140625" style="39"/>
    <col min="2311" max="2311" width="16.7109375" style="39" bestFit="1" customWidth="1"/>
    <col min="2312" max="2325" width="3.7109375" style="39" customWidth="1"/>
    <col min="2326" max="2327" width="4.28515625" style="39" customWidth="1"/>
    <col min="2328" max="2349" width="3.7109375" style="39" customWidth="1"/>
    <col min="2350" max="2566" width="9.140625" style="39"/>
    <col min="2567" max="2567" width="16.7109375" style="39" bestFit="1" customWidth="1"/>
    <col min="2568" max="2581" width="3.7109375" style="39" customWidth="1"/>
    <col min="2582" max="2583" width="4.28515625" style="39" customWidth="1"/>
    <col min="2584" max="2605" width="3.7109375" style="39" customWidth="1"/>
    <col min="2606" max="2822" width="9.140625" style="39"/>
    <col min="2823" max="2823" width="16.7109375" style="39" bestFit="1" customWidth="1"/>
    <col min="2824" max="2837" width="3.7109375" style="39" customWidth="1"/>
    <col min="2838" max="2839" width="4.28515625" style="39" customWidth="1"/>
    <col min="2840" max="2861" width="3.7109375" style="39" customWidth="1"/>
    <col min="2862" max="3078" width="9.140625" style="39"/>
    <col min="3079" max="3079" width="16.7109375" style="39" bestFit="1" customWidth="1"/>
    <col min="3080" max="3093" width="3.7109375" style="39" customWidth="1"/>
    <col min="3094" max="3095" width="4.28515625" style="39" customWidth="1"/>
    <col min="3096" max="3117" width="3.7109375" style="39" customWidth="1"/>
    <col min="3118" max="3334" width="9.140625" style="39"/>
    <col min="3335" max="3335" width="16.7109375" style="39" bestFit="1" customWidth="1"/>
    <col min="3336" max="3349" width="3.7109375" style="39" customWidth="1"/>
    <col min="3350" max="3351" width="4.28515625" style="39" customWidth="1"/>
    <col min="3352" max="3373" width="3.7109375" style="39" customWidth="1"/>
    <col min="3374" max="3590" width="9.140625" style="39"/>
    <col min="3591" max="3591" width="16.7109375" style="39" bestFit="1" customWidth="1"/>
    <col min="3592" max="3605" width="3.7109375" style="39" customWidth="1"/>
    <col min="3606" max="3607" width="4.28515625" style="39" customWidth="1"/>
    <col min="3608" max="3629" width="3.7109375" style="39" customWidth="1"/>
    <col min="3630" max="3846" width="9.140625" style="39"/>
    <col min="3847" max="3847" width="16.7109375" style="39" bestFit="1" customWidth="1"/>
    <col min="3848" max="3861" width="3.7109375" style="39" customWidth="1"/>
    <col min="3862" max="3863" width="4.28515625" style="39" customWidth="1"/>
    <col min="3864" max="3885" width="3.7109375" style="39" customWidth="1"/>
    <col min="3886" max="4102" width="9.140625" style="39"/>
    <col min="4103" max="4103" width="16.7109375" style="39" bestFit="1" customWidth="1"/>
    <col min="4104" max="4117" width="3.7109375" style="39" customWidth="1"/>
    <col min="4118" max="4119" width="4.28515625" style="39" customWidth="1"/>
    <col min="4120" max="4141" width="3.7109375" style="39" customWidth="1"/>
    <col min="4142" max="4358" width="9.140625" style="39"/>
    <col min="4359" max="4359" width="16.7109375" style="39" bestFit="1" customWidth="1"/>
    <col min="4360" max="4373" width="3.7109375" style="39" customWidth="1"/>
    <col min="4374" max="4375" width="4.28515625" style="39" customWidth="1"/>
    <col min="4376" max="4397" width="3.7109375" style="39" customWidth="1"/>
    <col min="4398" max="4614" width="9.140625" style="39"/>
    <col min="4615" max="4615" width="16.7109375" style="39" bestFit="1" customWidth="1"/>
    <col min="4616" max="4629" width="3.7109375" style="39" customWidth="1"/>
    <col min="4630" max="4631" width="4.28515625" style="39" customWidth="1"/>
    <col min="4632" max="4653" width="3.7109375" style="39" customWidth="1"/>
    <col min="4654" max="4870" width="9.140625" style="39"/>
    <col min="4871" max="4871" width="16.7109375" style="39" bestFit="1" customWidth="1"/>
    <col min="4872" max="4885" width="3.7109375" style="39" customWidth="1"/>
    <col min="4886" max="4887" width="4.28515625" style="39" customWidth="1"/>
    <col min="4888" max="4909" width="3.7109375" style="39" customWidth="1"/>
    <col min="4910" max="5126" width="9.140625" style="39"/>
    <col min="5127" max="5127" width="16.7109375" style="39" bestFit="1" customWidth="1"/>
    <col min="5128" max="5141" width="3.7109375" style="39" customWidth="1"/>
    <col min="5142" max="5143" width="4.28515625" style="39" customWidth="1"/>
    <col min="5144" max="5165" width="3.7109375" style="39" customWidth="1"/>
    <col min="5166" max="5382" width="9.140625" style="39"/>
    <col min="5383" max="5383" width="16.7109375" style="39" bestFit="1" customWidth="1"/>
    <col min="5384" max="5397" width="3.7109375" style="39" customWidth="1"/>
    <col min="5398" max="5399" width="4.28515625" style="39" customWidth="1"/>
    <col min="5400" max="5421" width="3.7109375" style="39" customWidth="1"/>
    <col min="5422" max="5638" width="9.140625" style="39"/>
    <col min="5639" max="5639" width="16.7109375" style="39" bestFit="1" customWidth="1"/>
    <col min="5640" max="5653" width="3.7109375" style="39" customWidth="1"/>
    <col min="5654" max="5655" width="4.28515625" style="39" customWidth="1"/>
    <col min="5656" max="5677" width="3.7109375" style="39" customWidth="1"/>
    <col min="5678" max="5894" width="9.140625" style="39"/>
    <col min="5895" max="5895" width="16.7109375" style="39" bestFit="1" customWidth="1"/>
    <col min="5896" max="5909" width="3.7109375" style="39" customWidth="1"/>
    <col min="5910" max="5911" width="4.28515625" style="39" customWidth="1"/>
    <col min="5912" max="5933" width="3.7109375" style="39" customWidth="1"/>
    <col min="5934" max="6150" width="9.140625" style="39"/>
    <col min="6151" max="6151" width="16.7109375" style="39" bestFit="1" customWidth="1"/>
    <col min="6152" max="6165" width="3.7109375" style="39" customWidth="1"/>
    <col min="6166" max="6167" width="4.28515625" style="39" customWidth="1"/>
    <col min="6168" max="6189" width="3.7109375" style="39" customWidth="1"/>
    <col min="6190" max="6406" width="9.140625" style="39"/>
    <col min="6407" max="6407" width="16.7109375" style="39" bestFit="1" customWidth="1"/>
    <col min="6408" max="6421" width="3.7109375" style="39" customWidth="1"/>
    <col min="6422" max="6423" width="4.28515625" style="39" customWidth="1"/>
    <col min="6424" max="6445" width="3.7109375" style="39" customWidth="1"/>
    <col min="6446" max="6662" width="9.140625" style="39"/>
    <col min="6663" max="6663" width="16.7109375" style="39" bestFit="1" customWidth="1"/>
    <col min="6664" max="6677" width="3.7109375" style="39" customWidth="1"/>
    <col min="6678" max="6679" width="4.28515625" style="39" customWidth="1"/>
    <col min="6680" max="6701" width="3.7109375" style="39" customWidth="1"/>
    <col min="6702" max="6918" width="9.140625" style="39"/>
    <col min="6919" max="6919" width="16.7109375" style="39" bestFit="1" customWidth="1"/>
    <col min="6920" max="6933" width="3.7109375" style="39" customWidth="1"/>
    <col min="6934" max="6935" width="4.28515625" style="39" customWidth="1"/>
    <col min="6936" max="6957" width="3.7109375" style="39" customWidth="1"/>
    <col min="6958" max="7174" width="9.140625" style="39"/>
    <col min="7175" max="7175" width="16.7109375" style="39" bestFit="1" customWidth="1"/>
    <col min="7176" max="7189" width="3.7109375" style="39" customWidth="1"/>
    <col min="7190" max="7191" width="4.28515625" style="39" customWidth="1"/>
    <col min="7192" max="7213" width="3.7109375" style="39" customWidth="1"/>
    <col min="7214" max="7430" width="9.140625" style="39"/>
    <col min="7431" max="7431" width="16.7109375" style="39" bestFit="1" customWidth="1"/>
    <col min="7432" max="7445" width="3.7109375" style="39" customWidth="1"/>
    <col min="7446" max="7447" width="4.28515625" style="39" customWidth="1"/>
    <col min="7448" max="7469" width="3.7109375" style="39" customWidth="1"/>
    <col min="7470" max="7686" width="9.140625" style="39"/>
    <col min="7687" max="7687" width="16.7109375" style="39" bestFit="1" customWidth="1"/>
    <col min="7688" max="7701" width="3.7109375" style="39" customWidth="1"/>
    <col min="7702" max="7703" width="4.28515625" style="39" customWidth="1"/>
    <col min="7704" max="7725" width="3.7109375" style="39" customWidth="1"/>
    <col min="7726" max="7942" width="9.140625" style="39"/>
    <col min="7943" max="7943" width="16.7109375" style="39" bestFit="1" customWidth="1"/>
    <col min="7944" max="7957" width="3.7109375" style="39" customWidth="1"/>
    <col min="7958" max="7959" width="4.28515625" style="39" customWidth="1"/>
    <col min="7960" max="7981" width="3.7109375" style="39" customWidth="1"/>
    <col min="7982" max="8198" width="9.140625" style="39"/>
    <col min="8199" max="8199" width="16.7109375" style="39" bestFit="1" customWidth="1"/>
    <col min="8200" max="8213" width="3.7109375" style="39" customWidth="1"/>
    <col min="8214" max="8215" width="4.28515625" style="39" customWidth="1"/>
    <col min="8216" max="8237" width="3.7109375" style="39" customWidth="1"/>
    <col min="8238" max="8454" width="9.140625" style="39"/>
    <col min="8455" max="8455" width="16.7109375" style="39" bestFit="1" customWidth="1"/>
    <col min="8456" max="8469" width="3.7109375" style="39" customWidth="1"/>
    <col min="8470" max="8471" width="4.28515625" style="39" customWidth="1"/>
    <col min="8472" max="8493" width="3.7109375" style="39" customWidth="1"/>
    <col min="8494" max="8710" width="9.140625" style="39"/>
    <col min="8711" max="8711" width="16.7109375" style="39" bestFit="1" customWidth="1"/>
    <col min="8712" max="8725" width="3.7109375" style="39" customWidth="1"/>
    <col min="8726" max="8727" width="4.28515625" style="39" customWidth="1"/>
    <col min="8728" max="8749" width="3.7109375" style="39" customWidth="1"/>
    <col min="8750" max="8966" width="9.140625" style="39"/>
    <col min="8967" max="8967" width="16.7109375" style="39" bestFit="1" customWidth="1"/>
    <col min="8968" max="8981" width="3.7109375" style="39" customWidth="1"/>
    <col min="8982" max="8983" width="4.28515625" style="39" customWidth="1"/>
    <col min="8984" max="9005" width="3.7109375" style="39" customWidth="1"/>
    <col min="9006" max="9222" width="9.140625" style="39"/>
    <col min="9223" max="9223" width="16.7109375" style="39" bestFit="1" customWidth="1"/>
    <col min="9224" max="9237" width="3.7109375" style="39" customWidth="1"/>
    <col min="9238" max="9239" width="4.28515625" style="39" customWidth="1"/>
    <col min="9240" max="9261" width="3.7109375" style="39" customWidth="1"/>
    <col min="9262" max="9478" width="9.140625" style="39"/>
    <col min="9479" max="9479" width="16.7109375" style="39" bestFit="1" customWidth="1"/>
    <col min="9480" max="9493" width="3.7109375" style="39" customWidth="1"/>
    <col min="9494" max="9495" width="4.28515625" style="39" customWidth="1"/>
    <col min="9496" max="9517" width="3.7109375" style="39" customWidth="1"/>
    <col min="9518" max="9734" width="9.140625" style="39"/>
    <col min="9735" max="9735" width="16.7109375" style="39" bestFit="1" customWidth="1"/>
    <col min="9736" max="9749" width="3.7109375" style="39" customWidth="1"/>
    <col min="9750" max="9751" width="4.28515625" style="39" customWidth="1"/>
    <col min="9752" max="9773" width="3.7109375" style="39" customWidth="1"/>
    <col min="9774" max="9990" width="9.140625" style="39"/>
    <col min="9991" max="9991" width="16.7109375" style="39" bestFit="1" customWidth="1"/>
    <col min="9992" max="10005" width="3.7109375" style="39" customWidth="1"/>
    <col min="10006" max="10007" width="4.28515625" style="39" customWidth="1"/>
    <col min="10008" max="10029" width="3.7109375" style="39" customWidth="1"/>
    <col min="10030" max="10246" width="9.140625" style="39"/>
    <col min="10247" max="10247" width="16.7109375" style="39" bestFit="1" customWidth="1"/>
    <col min="10248" max="10261" width="3.7109375" style="39" customWidth="1"/>
    <col min="10262" max="10263" width="4.28515625" style="39" customWidth="1"/>
    <col min="10264" max="10285" width="3.7109375" style="39" customWidth="1"/>
    <col min="10286" max="10502" width="9.140625" style="39"/>
    <col min="10503" max="10503" width="16.7109375" style="39" bestFit="1" customWidth="1"/>
    <col min="10504" max="10517" width="3.7109375" style="39" customWidth="1"/>
    <col min="10518" max="10519" width="4.28515625" style="39" customWidth="1"/>
    <col min="10520" max="10541" width="3.7109375" style="39" customWidth="1"/>
    <col min="10542" max="10758" width="9.140625" style="39"/>
    <col min="10759" max="10759" width="16.7109375" style="39" bestFit="1" customWidth="1"/>
    <col min="10760" max="10773" width="3.7109375" style="39" customWidth="1"/>
    <col min="10774" max="10775" width="4.28515625" style="39" customWidth="1"/>
    <col min="10776" max="10797" width="3.7109375" style="39" customWidth="1"/>
    <col min="10798" max="11014" width="9.140625" style="39"/>
    <col min="11015" max="11015" width="16.7109375" style="39" bestFit="1" customWidth="1"/>
    <col min="11016" max="11029" width="3.7109375" style="39" customWidth="1"/>
    <col min="11030" max="11031" width="4.28515625" style="39" customWidth="1"/>
    <col min="11032" max="11053" width="3.7109375" style="39" customWidth="1"/>
    <col min="11054" max="11270" width="9.140625" style="39"/>
    <col min="11271" max="11271" width="16.7109375" style="39" bestFit="1" customWidth="1"/>
    <col min="11272" max="11285" width="3.7109375" style="39" customWidth="1"/>
    <col min="11286" max="11287" width="4.28515625" style="39" customWidth="1"/>
    <col min="11288" max="11309" width="3.7109375" style="39" customWidth="1"/>
    <col min="11310" max="11526" width="9.140625" style="39"/>
    <col min="11527" max="11527" width="16.7109375" style="39" bestFit="1" customWidth="1"/>
    <col min="11528" max="11541" width="3.7109375" style="39" customWidth="1"/>
    <col min="11542" max="11543" width="4.28515625" style="39" customWidth="1"/>
    <col min="11544" max="11565" width="3.7109375" style="39" customWidth="1"/>
    <col min="11566" max="11782" width="9.140625" style="39"/>
    <col min="11783" max="11783" width="16.7109375" style="39" bestFit="1" customWidth="1"/>
    <col min="11784" max="11797" width="3.7109375" style="39" customWidth="1"/>
    <col min="11798" max="11799" width="4.28515625" style="39" customWidth="1"/>
    <col min="11800" max="11821" width="3.7109375" style="39" customWidth="1"/>
    <col min="11822" max="12038" width="9.140625" style="39"/>
    <col min="12039" max="12039" width="16.7109375" style="39" bestFit="1" customWidth="1"/>
    <col min="12040" max="12053" width="3.7109375" style="39" customWidth="1"/>
    <col min="12054" max="12055" width="4.28515625" style="39" customWidth="1"/>
    <col min="12056" max="12077" width="3.7109375" style="39" customWidth="1"/>
    <col min="12078" max="12294" width="9.140625" style="39"/>
    <col min="12295" max="12295" width="16.7109375" style="39" bestFit="1" customWidth="1"/>
    <col min="12296" max="12309" width="3.7109375" style="39" customWidth="1"/>
    <col min="12310" max="12311" width="4.28515625" style="39" customWidth="1"/>
    <col min="12312" max="12333" width="3.7109375" style="39" customWidth="1"/>
    <col min="12334" max="12550" width="9.140625" style="39"/>
    <col min="12551" max="12551" width="16.7109375" style="39" bestFit="1" customWidth="1"/>
    <col min="12552" max="12565" width="3.7109375" style="39" customWidth="1"/>
    <col min="12566" max="12567" width="4.28515625" style="39" customWidth="1"/>
    <col min="12568" max="12589" width="3.7109375" style="39" customWidth="1"/>
    <col min="12590" max="12806" width="9.140625" style="39"/>
    <col min="12807" max="12807" width="16.7109375" style="39" bestFit="1" customWidth="1"/>
    <col min="12808" max="12821" width="3.7109375" style="39" customWidth="1"/>
    <col min="12822" max="12823" width="4.28515625" style="39" customWidth="1"/>
    <col min="12824" max="12845" width="3.7109375" style="39" customWidth="1"/>
    <col min="12846" max="13062" width="9.140625" style="39"/>
    <col min="13063" max="13063" width="16.7109375" style="39" bestFit="1" customWidth="1"/>
    <col min="13064" max="13077" width="3.7109375" style="39" customWidth="1"/>
    <col min="13078" max="13079" width="4.28515625" style="39" customWidth="1"/>
    <col min="13080" max="13101" width="3.7109375" style="39" customWidth="1"/>
    <col min="13102" max="13318" width="9.140625" style="39"/>
    <col min="13319" max="13319" width="16.7109375" style="39" bestFit="1" customWidth="1"/>
    <col min="13320" max="13333" width="3.7109375" style="39" customWidth="1"/>
    <col min="13334" max="13335" width="4.28515625" style="39" customWidth="1"/>
    <col min="13336" max="13357" width="3.7109375" style="39" customWidth="1"/>
    <col min="13358" max="13574" width="9.140625" style="39"/>
    <col min="13575" max="13575" width="16.7109375" style="39" bestFit="1" customWidth="1"/>
    <col min="13576" max="13589" width="3.7109375" style="39" customWidth="1"/>
    <col min="13590" max="13591" width="4.28515625" style="39" customWidth="1"/>
    <col min="13592" max="13613" width="3.7109375" style="39" customWidth="1"/>
    <col min="13614" max="13830" width="9.140625" style="39"/>
    <col min="13831" max="13831" width="16.7109375" style="39" bestFit="1" customWidth="1"/>
    <col min="13832" max="13845" width="3.7109375" style="39" customWidth="1"/>
    <col min="13846" max="13847" width="4.28515625" style="39" customWidth="1"/>
    <col min="13848" max="13869" width="3.7109375" style="39" customWidth="1"/>
    <col min="13870" max="14086" width="9.140625" style="39"/>
    <col min="14087" max="14087" width="16.7109375" style="39" bestFit="1" customWidth="1"/>
    <col min="14088" max="14101" width="3.7109375" style="39" customWidth="1"/>
    <col min="14102" max="14103" width="4.28515625" style="39" customWidth="1"/>
    <col min="14104" max="14125" width="3.7109375" style="39" customWidth="1"/>
    <col min="14126" max="14342" width="9.140625" style="39"/>
    <col min="14343" max="14343" width="16.7109375" style="39" bestFit="1" customWidth="1"/>
    <col min="14344" max="14357" width="3.7109375" style="39" customWidth="1"/>
    <col min="14358" max="14359" width="4.28515625" style="39" customWidth="1"/>
    <col min="14360" max="14381" width="3.7109375" style="39" customWidth="1"/>
    <col min="14382" max="14598" width="9.140625" style="39"/>
    <col min="14599" max="14599" width="16.7109375" style="39" bestFit="1" customWidth="1"/>
    <col min="14600" max="14613" width="3.7109375" style="39" customWidth="1"/>
    <col min="14614" max="14615" width="4.28515625" style="39" customWidth="1"/>
    <col min="14616" max="14637" width="3.7109375" style="39" customWidth="1"/>
    <col min="14638" max="14854" width="9.140625" style="39"/>
    <col min="14855" max="14855" width="16.7109375" style="39" bestFit="1" customWidth="1"/>
    <col min="14856" max="14869" width="3.7109375" style="39" customWidth="1"/>
    <col min="14870" max="14871" width="4.28515625" style="39" customWidth="1"/>
    <col min="14872" max="14893" width="3.7109375" style="39" customWidth="1"/>
    <col min="14894" max="15110" width="9.140625" style="39"/>
    <col min="15111" max="15111" width="16.7109375" style="39" bestFit="1" customWidth="1"/>
    <col min="15112" max="15125" width="3.7109375" style="39" customWidth="1"/>
    <col min="15126" max="15127" width="4.28515625" style="39" customWidth="1"/>
    <col min="15128" max="15149" width="3.7109375" style="39" customWidth="1"/>
    <col min="15150" max="15366" width="9.140625" style="39"/>
    <col min="15367" max="15367" width="16.7109375" style="39" bestFit="1" customWidth="1"/>
    <col min="15368" max="15381" width="3.7109375" style="39" customWidth="1"/>
    <col min="15382" max="15383" width="4.28515625" style="39" customWidth="1"/>
    <col min="15384" max="15405" width="3.7109375" style="39" customWidth="1"/>
    <col min="15406" max="15622" width="9.140625" style="39"/>
    <col min="15623" max="15623" width="16.7109375" style="39" bestFit="1" customWidth="1"/>
    <col min="15624" max="15637" width="3.7109375" style="39" customWidth="1"/>
    <col min="15638" max="15639" width="4.28515625" style="39" customWidth="1"/>
    <col min="15640" max="15661" width="3.7109375" style="39" customWidth="1"/>
    <col min="15662" max="15878" width="9.140625" style="39"/>
    <col min="15879" max="15879" width="16.7109375" style="39" bestFit="1" customWidth="1"/>
    <col min="15880" max="15893" width="3.7109375" style="39" customWidth="1"/>
    <col min="15894" max="15895" width="4.28515625" style="39" customWidth="1"/>
    <col min="15896" max="15917" width="3.7109375" style="39" customWidth="1"/>
    <col min="15918" max="16134" width="9.140625" style="39"/>
    <col min="16135" max="16135" width="16.7109375" style="39" bestFit="1" customWidth="1"/>
    <col min="16136" max="16149" width="3.7109375" style="39" customWidth="1"/>
    <col min="16150" max="16151" width="4.28515625" style="39" customWidth="1"/>
    <col min="16152" max="16173" width="3.7109375" style="39" customWidth="1"/>
    <col min="16174" max="16384" width="9.140625" style="39"/>
  </cols>
  <sheetData>
    <row r="1" spans="2:48" x14ac:dyDescent="0.2">
      <c r="B1" s="43" t="s">
        <v>67</v>
      </c>
    </row>
    <row r="2" spans="2:48" x14ac:dyDescent="0.2">
      <c r="B2" s="44"/>
    </row>
    <row r="3" spans="2:48" ht="13.5" thickBot="1" x14ac:dyDescent="0.25"/>
    <row r="4" spans="2:48" s="40" customFormat="1" ht="13.5" thickBot="1" x14ac:dyDescent="0.25">
      <c r="B4" s="38"/>
      <c r="C4" s="102" t="str">
        <f>IF($B$2="","",IF($B$2="Jared","Dylan","Jared"))</f>
        <v/>
      </c>
      <c r="D4" s="103"/>
      <c r="E4" s="102" t="str">
        <f>IF($B$2="","",IF($C$4="Dylan","Tom",IF($B$2="Dylan","Tom","Dylan")))</f>
        <v/>
      </c>
      <c r="F4" s="103"/>
      <c r="G4" s="102" t="str">
        <f>IF($B$2="","",IF($E$4="Tom","Dave",IF($B$2="Tom","Dave","Tom")))</f>
        <v/>
      </c>
      <c r="H4" s="103"/>
      <c r="I4" s="102" t="str">
        <f>IF($B$2="","",IF($G$4="Dave","The MT",IF($B$2="Dave","The MT","Dave")))</f>
        <v/>
      </c>
      <c r="J4" s="103"/>
      <c r="K4" s="102" t="str">
        <f>IF($B$2="","",IF($I$4="The MT","Rico",IF($B$2="The MT","Rico","The MT")))</f>
        <v/>
      </c>
      <c r="L4" s="103"/>
      <c r="M4" s="102" t="str">
        <f>IF($B$2="","",IF($K$4="Rico","Stefan",IF($B$2="Rico","Stefan","Rico")))</f>
        <v/>
      </c>
      <c r="N4" s="103"/>
      <c r="O4" s="102" t="str">
        <f>IF($B$2="","",IF($M$4="Stefan","Knowles",IF($B$2="Stefan","Knowles","Stefan")))</f>
        <v/>
      </c>
      <c r="P4" s="103"/>
      <c r="Q4" s="102" t="str">
        <f>IF($B$2="","",IF($O$4="Knowles","Mr. S",IF($B$2="Knowles","Mr. S","Knowles")))</f>
        <v/>
      </c>
      <c r="R4" s="103"/>
      <c r="S4" s="102" t="str">
        <f>IF($B$2="","",IF($Q$4="Mr. S","John",IF($B$2="Mr. S","John","Mr. S")))</f>
        <v/>
      </c>
      <c r="T4" s="103"/>
      <c r="U4" s="102" t="str">
        <f>IF($B$2="","",IF($S$4="John","Justin",IF($B$2="John","Justin","John")))</f>
        <v/>
      </c>
      <c r="V4" s="103"/>
      <c r="W4" s="102" t="str">
        <f>IF($B$2="","",IF($U$4="Justin","Dan",IF($B$2="Justin","Dan","Justin")))</f>
        <v/>
      </c>
      <c r="X4" s="103"/>
      <c r="Y4" s="102" t="str">
        <f>IF($B$2="","",IF($W$4="Dan","Kate",IF($B$2="Dan","Kate","Dan")))</f>
        <v/>
      </c>
      <c r="Z4" s="103"/>
      <c r="AA4" s="102" t="str">
        <f>IF($B$2="","",IF($Y$4="Kate","Mrs. H",IF($B$2="Kate","Mrs. H","Kate")))</f>
        <v/>
      </c>
      <c r="AB4" s="103"/>
      <c r="AC4" s="102" t="str">
        <f>IF($B$2="","",IF($AA$4="Mrs. H","Neal",IF($B$2="Mrs. H","Neal","Mrs. H")))</f>
        <v/>
      </c>
      <c r="AD4" s="103"/>
      <c r="AE4" s="102" t="str">
        <f>IF($B$2="","",IF($AC$4="Neal","Eddie",IF($B$2="Neal","Eddie","Neal")))</f>
        <v/>
      </c>
      <c r="AF4" s="103"/>
      <c r="AG4" s="102" t="str">
        <f>IF($B$2="","",IF($AE$4="Eddie","Mrs. S",IF($B$2="Eddie","Mrs. S","Eddie")))</f>
        <v/>
      </c>
      <c r="AH4" s="103"/>
      <c r="AI4" s="102" t="str">
        <f>IF($B$2="","",IF($AG$4="Mrs. S","Steve",IF($B$2="Mrs. S","Steve","Mrs. S")))</f>
        <v/>
      </c>
      <c r="AJ4" s="103"/>
      <c r="AK4" s="102" t="str">
        <f>IF($B$2="","",IF($AI$4="Steve","Ryan",IF($B$2="Steve","Ryan","Steve")))</f>
        <v/>
      </c>
      <c r="AL4" s="103"/>
      <c r="AM4" s="102" t="str">
        <f>IF($B$2="","",IF($AK$4="Ryan","Kari",IF($B$2="Ryan","Kari","Ryan")))</f>
        <v/>
      </c>
      <c r="AN4" s="103"/>
      <c r="AO4" s="102" t="str">
        <f>IF($B$2="","",IF($AM$4="Kari","Nate",IF($B$2="Kari","Nate","Kari")))</f>
        <v/>
      </c>
      <c r="AP4" s="103"/>
      <c r="AQ4" s="102" t="str">
        <f>IF($B$2="","",IF($AO$4="Nate","Ian",IF($B$2="Nate","Ian","Nate")))</f>
        <v/>
      </c>
      <c r="AR4" s="103"/>
      <c r="AS4" s="102" t="str">
        <f>IF($B$2="","",IF($AQ$4="Ian","Beau",IF($B$2="Ian","Beau","Ian")))</f>
        <v/>
      </c>
      <c r="AT4" s="103"/>
      <c r="AV4" s="39" t="s">
        <v>52</v>
      </c>
    </row>
    <row r="5" spans="2:48" x14ac:dyDescent="0.2">
      <c r="B5" s="38" t="s">
        <v>65</v>
      </c>
      <c r="C5" s="71">
        <f>COUNTIFS(Calculations!$C$3:$C$170,$B$2,Calculations!$G$3:$G$170,$C$4,Calculations!$I$3:$I$170,"W")</f>
        <v>0</v>
      </c>
      <c r="D5" s="73">
        <f>COUNTIFS(Calculations!$C$3:$C$170,$B$2,Calculations!$G$3:$G$170,$C$4,Calculations!$I$3:$I$170,"L")</f>
        <v>0</v>
      </c>
      <c r="E5" s="71">
        <f>COUNTIFS(Calculations!$C$3:$C$170,$B$2,Calculations!$G$3:$G$170,$E$4,Calculations!$I$3:$I$170,"W")</f>
        <v>0</v>
      </c>
      <c r="F5" s="73">
        <f>COUNTIFS(Calculations!$C$3:$C$170,$B$2,Calculations!$G$3:$G$170,$E$4,Calculations!$I$3:$I$170,"L")</f>
        <v>0</v>
      </c>
      <c r="G5" s="71">
        <f>COUNTIFS(Calculations!$C$3:$C$170,$B$2,Calculations!$G$3:$G$170,$G$4,Calculations!$I$3:$I$170,"W")</f>
        <v>0</v>
      </c>
      <c r="H5" s="73">
        <f>COUNTIFS(Calculations!$C$3:$C$170,$B$2,Calculations!$G$3:$G$170,$G$4,Calculations!$I$3:$I$170,"L")</f>
        <v>0</v>
      </c>
      <c r="I5" s="71">
        <f>COUNTIFS(Calculations!$C$3:$C$170,$B$2,Calculations!$G$3:$G$170,$I$4,Calculations!$I$3:$I$170,"W")</f>
        <v>0</v>
      </c>
      <c r="J5" s="73">
        <f>COUNTIFS(Calculations!$C$3:$C$170,$B$2,Calculations!$G$3:$G$170,$I$4,Calculations!$I$3:$I$170,"L")</f>
        <v>0</v>
      </c>
      <c r="K5" s="71">
        <f>COUNTIFS(Calculations!$C$3:$C$170,$B$2,Calculations!$G$3:$G$170,$K$4,Calculations!$I$3:$I$170,"W")</f>
        <v>0</v>
      </c>
      <c r="L5" s="73">
        <f>COUNTIFS(Calculations!$C$3:$C$170,$B$2,Calculations!$G$3:$G$170,$K$4,Calculations!$I$3:$I$170,"L")</f>
        <v>0</v>
      </c>
      <c r="M5" s="71">
        <f>COUNTIFS(Calculations!$C$3:$C$170,$B$2,Calculations!$G$3:$G$170,$M$4,Calculations!$I$3:$I$170,"W")</f>
        <v>0</v>
      </c>
      <c r="N5" s="73">
        <f>COUNTIFS(Calculations!$C$3:$C$170,$B$2,Calculations!$G$3:$G$170,$M$4,Calculations!$I$3:$I$170,"L")</f>
        <v>0</v>
      </c>
      <c r="O5" s="71">
        <f>COUNTIFS(Calculations!$C$3:$C$170,$B$2,Calculations!$G$3:$G$170,$O$4,Calculations!$I$3:$I$170,"W")</f>
        <v>0</v>
      </c>
      <c r="P5" s="73">
        <f>COUNTIFS(Calculations!$C$3:$C$170,$B$2,Calculations!$G$3:$G$170,$O$4,Calculations!$I$3:$I$170,"L")</f>
        <v>0</v>
      </c>
      <c r="Q5" s="71">
        <f>COUNTIFS(Calculations!$C$3:$C$170,$B$2,Calculations!$G$3:$G$170,$Q$4,Calculations!$I$3:$I$170,"W")</f>
        <v>0</v>
      </c>
      <c r="R5" s="73">
        <f>COUNTIFS(Calculations!$C$3:$C$170,$B$2,Calculations!$G$3:$G$170,$Q$4,Calculations!$I$3:$I$170,"L")</f>
        <v>0</v>
      </c>
      <c r="S5" s="71">
        <f>COUNTIFS(Calculations!$C$3:$C$170,$B$2,Calculations!$G$3:$G$170,$S$4,Calculations!$I$3:$I$170,"W")</f>
        <v>0</v>
      </c>
      <c r="T5" s="73">
        <f>COUNTIFS(Calculations!$C$3:$C$170,$B$2,Calculations!$G$3:$G$170,$S$4,Calculations!$I$3:$I$170,"L")</f>
        <v>0</v>
      </c>
      <c r="U5" s="71">
        <f>COUNTIFS(Calculations!$C$3:$C$170,$B$2,Calculations!$G$3:$G$170,$U$4,Calculations!$I$3:$I$170,"W")</f>
        <v>0</v>
      </c>
      <c r="V5" s="73">
        <f>COUNTIFS(Calculations!$C$3:$C$170,$B$2,Calculations!$G$3:$G$170,$U$4,Calculations!$I$3:$I$170,"L")</f>
        <v>0</v>
      </c>
      <c r="W5" s="71">
        <f>COUNTIFS(Calculations!$C$3:$C$170,$B$2,Calculations!$G$3:$G$170,$W$4,Calculations!$I$3:$I$170,"W")</f>
        <v>0</v>
      </c>
      <c r="X5" s="73">
        <f>COUNTIFS(Calculations!$C$3:$C$170,$B$2,Calculations!$G$3:$G$170,$W$4,Calculations!$I$3:$I$170,"L")</f>
        <v>0</v>
      </c>
      <c r="Y5" s="71">
        <f>COUNTIFS(Calculations!$C$3:$C$170,$B$2,Calculations!$G$3:$G$170,$Y$4,Calculations!$I$3:$I$170,"W")</f>
        <v>0</v>
      </c>
      <c r="Z5" s="73">
        <f>COUNTIFS(Calculations!$C$3:$C$170,$B$2,Calculations!$G$3:$G$170,$Y$4,Calculations!$I$3:$I$170,"L")</f>
        <v>0</v>
      </c>
      <c r="AA5" s="71">
        <f>COUNTIFS(Calculations!$C$3:$C$170,$B$2,Calculations!$G$3:$G$170,$AA$4,Calculations!$I$3:$I$170,"W")</f>
        <v>0</v>
      </c>
      <c r="AB5" s="73">
        <f>COUNTIFS(Calculations!$C$3:$C$170,$B$2,Calculations!$G$3:$G$170,$AA$4,Calculations!$I$3:$I$170,"L")</f>
        <v>0</v>
      </c>
      <c r="AC5" s="71">
        <f>COUNTIFS(Calculations!$C$3:$C$170,$B$2,Calculations!$G$3:$G$170,$AC$4,Calculations!$I$3:$I$170,"W")</f>
        <v>0</v>
      </c>
      <c r="AD5" s="73">
        <f>COUNTIFS(Calculations!$C$3:$C$170,$B$2,Calculations!$G$3:$G$170,$AC$4,Calculations!$I$3:$I$170,"L")</f>
        <v>0</v>
      </c>
      <c r="AE5" s="71">
        <f>COUNTIFS(Calculations!$C$3:$C$170,$B$2,Calculations!$G$3:$G$170,$AE$4,Calculations!$I$3:$I$170,"W")</f>
        <v>0</v>
      </c>
      <c r="AF5" s="73">
        <f>COUNTIFS(Calculations!$C$3:$C$170,$B$2,Calculations!$G$3:$G$170,$AE$4,Calculations!$I$3:$I$170,"L")</f>
        <v>0</v>
      </c>
      <c r="AG5" s="71">
        <f>COUNTIFS(Calculations!$C$3:$C$170,$B$2,Calculations!$G$3:$G$170,$AG$4,Calculations!$I$3:$I$170,"W")</f>
        <v>0</v>
      </c>
      <c r="AH5" s="73">
        <f>COUNTIFS(Calculations!$C$3:$C$170,$B$2,Calculations!$G$3:$G$170,$AG$4,Calculations!$I$3:$I$170,"L")</f>
        <v>0</v>
      </c>
      <c r="AI5" s="71">
        <f>COUNTIFS(Calculations!$C$3:$C$170,$B$2,Calculations!$G$3:$G$170,$AI$4,Calculations!$I$3:$I$170,"W")</f>
        <v>0</v>
      </c>
      <c r="AJ5" s="73">
        <f>COUNTIFS(Calculations!$C$3:$C$170,$B$2,Calculations!$G$3:$G$170,$AI$4,Calculations!$I$3:$I$170,"L")</f>
        <v>0</v>
      </c>
      <c r="AK5" s="71">
        <f>COUNTIFS(Calculations!$C$3:$C$170,$B$2,Calculations!$G$3:$G$170,$AK$4,Calculations!$I$3:$I$170,"W")</f>
        <v>0</v>
      </c>
      <c r="AL5" s="73">
        <f>COUNTIFS(Calculations!$C$3:$C$170,$B$2,Calculations!$G$3:$G$170,$AK$4,Calculations!$I$3:$I$170,"L")</f>
        <v>0</v>
      </c>
      <c r="AM5" s="71">
        <f>COUNTIFS(Calculations!$C$3:$C$170,$B$2,Calculations!$G$3:$G$170,$AM$4,Calculations!$I$3:$I$170,"W")</f>
        <v>0</v>
      </c>
      <c r="AN5" s="73">
        <f>COUNTIFS(Calculations!$C$3:$C$170,$B$2,Calculations!$G$3:$G$170,$AM$4,Calculations!$I$3:$I$170,"L")</f>
        <v>0</v>
      </c>
      <c r="AO5" s="71">
        <f>COUNTIFS(Calculations!$C$3:$C$170,$B$2,Calculations!$G$3:$G$170,$AO$4,Calculations!$I$3:$I$170,"W")</f>
        <v>0</v>
      </c>
      <c r="AP5" s="73">
        <f>COUNTIFS(Calculations!$C$3:$C$170,$B$2,Calculations!$G$3:$G$170,$AO$4,Calculations!$I$3:$I$170,"L")</f>
        <v>0</v>
      </c>
      <c r="AQ5" s="71">
        <f>COUNTIFS(Calculations!$C$3:$C$170,$B$2,Calculations!$G$3:$G$170,$AQ$4,Calculations!$I$3:$I$170,"W")</f>
        <v>0</v>
      </c>
      <c r="AR5" s="73">
        <f>COUNTIFS(Calculations!$C$3:$C$170,$B$2,Calculations!$G$3:$G$170,$AQ$4,Calculations!$I$3:$I$170,"L")</f>
        <v>0</v>
      </c>
      <c r="AS5" s="71">
        <f>COUNTIFS(Calculations!$C$3:$C$170,$B$2,Calculations!$G$3:$G$170,$AS$4,Calculations!$I$3:$I$170,"W")</f>
        <v>0</v>
      </c>
      <c r="AT5" s="73">
        <f>COUNTIFS(Calculations!$C$3:$C$170,$B$2,Calculations!$G$3:$G$170,$AS$4,Calculations!$I$3:$I$170,"L")</f>
        <v>0</v>
      </c>
      <c r="AV5" s="39" t="s">
        <v>49</v>
      </c>
    </row>
    <row r="6" spans="2:48" ht="13.5" thickBot="1" x14ac:dyDescent="0.25">
      <c r="B6" s="38" t="s">
        <v>66</v>
      </c>
      <c r="C6" s="72">
        <f>COUNTIFS(Calculations!$C$171:$C$198,$B$2,Calculations!$G$171:$G$198,$C$4,Calculations!$I$171:$I$198,"W")</f>
        <v>0</v>
      </c>
      <c r="D6" s="74">
        <f>COUNTIFS(Calculations!$C$171:$C$198,$B$2,Calculations!$G$171:$G$198,$C$4,Calculations!$I$171:$I$198,"L")</f>
        <v>0</v>
      </c>
      <c r="E6" s="72">
        <f>COUNTIFS(Calculations!$C$171:$C$198,$B$2,Calculations!$G$171:$G$198,$E$4,Calculations!$I$171:$I$198,"W")</f>
        <v>0</v>
      </c>
      <c r="F6" s="74">
        <f>COUNTIFS(Calculations!$C$171:$C$198,$B$2,Calculations!$G$171:$G$198,$E$4,Calculations!$I$171:$I$198,"L")</f>
        <v>0</v>
      </c>
      <c r="G6" s="72">
        <f>COUNTIFS(Calculations!$C$171:$C$198,$B$2,Calculations!$G$171:$G$198,$G$4,Calculations!$I$171:$I$198,"W")</f>
        <v>0</v>
      </c>
      <c r="H6" s="74">
        <f>COUNTIFS(Calculations!$C$171:$C$198,$B$2,Calculations!$G$171:$G$198,$G$4,Calculations!$I$171:$I$198,"L")</f>
        <v>0</v>
      </c>
      <c r="I6" s="72">
        <f>COUNTIFS(Calculations!$C$171:$C$198,$B$2,Calculations!$G$171:$G$198,$I$4,Calculations!$I$171:$I$198,"W")</f>
        <v>0</v>
      </c>
      <c r="J6" s="74">
        <f>COUNTIFS(Calculations!$C$171:$C$198,$B$2,Calculations!$G$171:$G$198,$I$4,Calculations!$I$171:$I$198,"L")</f>
        <v>0</v>
      </c>
      <c r="K6" s="72">
        <f>COUNTIFS(Calculations!$C$171:$C$198,$B$2,Calculations!$G$171:$G$198,$K$4,Calculations!$I$171:$I$198,"W")</f>
        <v>0</v>
      </c>
      <c r="L6" s="74">
        <f>COUNTIFS(Calculations!$C$171:$C$198,$B$2,Calculations!$G$171:$G$198,$K$4,Calculations!$I$171:$I$198,"L")</f>
        <v>0</v>
      </c>
      <c r="M6" s="72">
        <f>COUNTIFS(Calculations!$C$171:$C$198,$B$2,Calculations!$G$171:$G$198,$M$4,Calculations!$I$171:$I$198,"W")</f>
        <v>0</v>
      </c>
      <c r="N6" s="74">
        <f>COUNTIFS(Calculations!$C$171:$C$198,$B$2,Calculations!$G$171:$G$198,$M$4,Calculations!$I$171:$I$198,"L")</f>
        <v>0</v>
      </c>
      <c r="O6" s="72">
        <f>COUNTIFS(Calculations!$C$171:$C$198,$B$2,Calculations!$G$171:$G$198,$O$4,Calculations!$I$171:$I$198,"W")</f>
        <v>0</v>
      </c>
      <c r="P6" s="74">
        <f>COUNTIFS(Calculations!$C$171:$C$198,$B$2,Calculations!$G$171:$G$198,$O$4,Calculations!$I$171:$I$198,"L")</f>
        <v>0</v>
      </c>
      <c r="Q6" s="72">
        <f>COUNTIFS(Calculations!$C$171:$C$198,$B$2,Calculations!$G$171:$G$198,$Q$4,Calculations!$I$171:$I$198,"W")</f>
        <v>0</v>
      </c>
      <c r="R6" s="74">
        <f>COUNTIFS(Calculations!$C$171:$C$198,$B$2,Calculations!$G$171:$G$198,$Q$4,Calculations!$I$171:$I$198,"L")</f>
        <v>0</v>
      </c>
      <c r="S6" s="72">
        <f>COUNTIFS(Calculations!$C$171:$C$198,$B$2,Calculations!$G$171:$G$198,$S$4,Calculations!$I$171:$I$198,"W")</f>
        <v>0</v>
      </c>
      <c r="T6" s="74">
        <f>COUNTIFS(Calculations!$C$171:$C$198,$B$2,Calculations!$G$171:$G$198,$S$4,Calculations!$I$171:$I$198,"L")</f>
        <v>0</v>
      </c>
      <c r="U6" s="72">
        <f>COUNTIFS(Calculations!$C$171:$C$198,$B$2,Calculations!$G$171:$G$198,$U$4,Calculations!$I$171:$I$198,"W")</f>
        <v>0</v>
      </c>
      <c r="V6" s="74">
        <f>COUNTIFS(Calculations!$C$171:$C$198,$B$2,Calculations!$G$171:$G$198,$U$4,Calculations!$I$171:$I$198,"L")</f>
        <v>0</v>
      </c>
      <c r="W6" s="72">
        <f>COUNTIFS(Calculations!$C$171:$C$198,$B$2,Calculations!$G$171:$G$198,$W$4,Calculations!$I$171:$I$198,"W")</f>
        <v>0</v>
      </c>
      <c r="X6" s="74">
        <f>COUNTIFS(Calculations!$C$171:$C$198,$B$2,Calculations!$G$171:$G$198,$W$4,Calculations!$I$171:$I$198,"L")</f>
        <v>0</v>
      </c>
      <c r="Y6" s="72">
        <f>COUNTIFS(Calculations!$C$171:$C$198,$B$2,Calculations!$G$171:$G$198,$W$4,Calculations!$I$171:$I$198,"L")</f>
        <v>0</v>
      </c>
      <c r="Z6" s="74">
        <f>COUNTIFS(Calculations!$C$171:$C$198,$B$2,Calculations!$G$171:$G$198,$Y$4,Calculations!$I$171:$I$198,"L")</f>
        <v>0</v>
      </c>
      <c r="AA6" s="72">
        <f>COUNTIFS(Calculations!$C$171:$C$198,$B$2,Calculations!$G$171:$G$198,$AA$4,Calculations!$I$171:$I$198,"W")</f>
        <v>0</v>
      </c>
      <c r="AB6" s="74">
        <f>COUNTIFS(Calculations!$C$171:$C$198,$B$2,Calculations!$G$171:$G$198,$AA$4,Calculations!$I$171:$I$198,"L")</f>
        <v>0</v>
      </c>
      <c r="AC6" s="72">
        <f>COUNTIFS(Calculations!$C$171:$C$198,$B$2,Calculations!$G$171:$G$198,$AC$4,Calculations!$I$171:$I$198,"W")</f>
        <v>0</v>
      </c>
      <c r="AD6" s="74">
        <f>COUNTIFS(Calculations!$C$171:$C$198,$B$2,Calculations!$G$171:$G$198,$AC$4,Calculations!$I$171:$I$198,"L")</f>
        <v>0</v>
      </c>
      <c r="AE6" s="72">
        <f>COUNTIFS(Calculations!$C$171:$C$198,$B$2,Calculations!$G$171:$G$198,$AE$4,Calculations!$I$171:$I$198,"W")</f>
        <v>0</v>
      </c>
      <c r="AF6" s="74">
        <f>COUNTIFS(Calculations!$C$171:$C$198,$B$2,Calculations!$G$171:$G$198,$AE$4,Calculations!$I$171:$I$198,"L")</f>
        <v>0</v>
      </c>
      <c r="AG6" s="72">
        <f>COUNTIFS(Calculations!$C$171:$C$198,$B$2,Calculations!$G$171:$G$198,$AG$4,Calculations!$I$171:$I$198,"W")</f>
        <v>0</v>
      </c>
      <c r="AH6" s="74">
        <f>COUNTIFS(Calculations!$C$171:$C$198,$B$2,Calculations!$G$171:$G$198,$AG$4,Calculations!$I$171:$I$198,"L")</f>
        <v>0</v>
      </c>
      <c r="AI6" s="72">
        <f>COUNTIFS(Calculations!$C$171:$C$198,$B$2,Calculations!$G$171:$G$198,$AI$4,Calculations!$I$171:$I$198,"W")</f>
        <v>0</v>
      </c>
      <c r="AJ6" s="74">
        <f>COUNTIFS(Calculations!$C$171:$C$198,$B$2,Calculations!$G$171:$G$198,$AI$4,Calculations!$I$171:$I$198,"L")</f>
        <v>0</v>
      </c>
      <c r="AK6" s="72">
        <f>COUNTIFS(Calculations!$C$171:$C$198,$B$2,Calculations!$G$171:$G$198,$AK$4,Calculations!$I$171:$I$198,"W")</f>
        <v>0</v>
      </c>
      <c r="AL6" s="74">
        <f>COUNTIFS(Calculations!$C$171:$C$198,$B$2,Calculations!$G$171:$G$198,$AK$4,Calculations!$I$171:$I$198,"L")</f>
        <v>0</v>
      </c>
      <c r="AM6" s="72">
        <f>COUNTIFS(Calculations!$C$171:$C$198,$B$2,Calculations!$G$171:$G$198,$AM$4,Calculations!$I$171:$I$198,"W")</f>
        <v>0</v>
      </c>
      <c r="AN6" s="74">
        <f>COUNTIFS(Calculations!$C$171:$C$198,$B$2,Calculations!$G$171:$G$198,$AM$4,Calculations!$I$171:$I$198,"L")</f>
        <v>0</v>
      </c>
      <c r="AO6" s="72">
        <f>COUNTIFS(Calculations!$C$171:$C$198,$B$2,Calculations!$G$171:$G$198,$AO$4,Calculations!$I$171:$I$198,"W")</f>
        <v>0</v>
      </c>
      <c r="AP6" s="74">
        <f>COUNTIFS(Calculations!$C$171:$C$198,$B$2,Calculations!$G$171:$G$198,$AO$4,Calculations!$I$171:$I$198,"L")</f>
        <v>0</v>
      </c>
      <c r="AQ6" s="72">
        <f>COUNTIFS(Calculations!$C$171:$C$198,$B$2,Calculations!$G$171:$G$198,$AQ$4,Calculations!$I$171:$I$198,"W")</f>
        <v>0</v>
      </c>
      <c r="AR6" s="74">
        <f>COUNTIFS(Calculations!$C$171:$C$198,$B$2,Calculations!$G$171:$G$198,$AQ$4,Calculations!$I$171:$I$198,"L")</f>
        <v>0</v>
      </c>
      <c r="AS6" s="72">
        <f>COUNTIFS(Calculations!$C$171:$C$198,$B$2,Calculations!$G$171:$G$198,$AS$4,Calculations!$I$171:$I$198,"W")</f>
        <v>0</v>
      </c>
      <c r="AT6" s="74">
        <f>COUNTIFS(Calculations!$C$171:$C$198,$B$2,Calculations!$G$171:$G$198,$AS$4,Calculations!$I$171:$I$198,"L")</f>
        <v>0</v>
      </c>
      <c r="AV6" s="39" t="s">
        <v>53</v>
      </c>
    </row>
    <row r="7" spans="2:48" x14ac:dyDescent="0.2">
      <c r="C7" s="41"/>
      <c r="D7" s="42"/>
      <c r="E7" s="41"/>
      <c r="F7" s="42"/>
      <c r="G7" s="41"/>
      <c r="H7" s="42"/>
      <c r="I7" s="41"/>
      <c r="J7" s="42"/>
      <c r="K7" s="41"/>
      <c r="L7" s="42"/>
      <c r="M7" s="41"/>
      <c r="N7" s="42"/>
      <c r="O7" s="41"/>
      <c r="P7" s="42"/>
      <c r="Q7" s="41"/>
      <c r="R7" s="42"/>
      <c r="S7" s="41"/>
      <c r="T7" s="42"/>
      <c r="U7" s="41"/>
      <c r="V7" s="42"/>
      <c r="W7" s="41"/>
      <c r="X7" s="42"/>
      <c r="Y7" s="41"/>
      <c r="Z7" s="42"/>
      <c r="AA7" s="41"/>
      <c r="AB7" s="42"/>
      <c r="AC7" s="41"/>
      <c r="AD7" s="42"/>
      <c r="AE7" s="41"/>
      <c r="AF7" s="42"/>
      <c r="AG7" s="41"/>
      <c r="AH7" s="42"/>
      <c r="AV7" s="39" t="s">
        <v>45</v>
      </c>
    </row>
    <row r="8" spans="2:48" x14ac:dyDescent="0.2">
      <c r="AV8" s="39" t="s">
        <v>88</v>
      </c>
    </row>
    <row r="9" spans="2:48" x14ac:dyDescent="0.2">
      <c r="AV9" s="39" t="s">
        <v>89</v>
      </c>
    </row>
    <row r="10" spans="2:48" x14ac:dyDescent="0.2">
      <c r="AV10" s="39" t="s">
        <v>90</v>
      </c>
    </row>
    <row r="11" spans="2:48" x14ac:dyDescent="0.2">
      <c r="AV11" s="39" t="s">
        <v>91</v>
      </c>
    </row>
    <row r="12" spans="2:48" x14ac:dyDescent="0.2">
      <c r="AV12" s="39" t="s">
        <v>56</v>
      </c>
    </row>
    <row r="13" spans="2:48" x14ac:dyDescent="0.2">
      <c r="AV13" s="39" t="s">
        <v>57</v>
      </c>
    </row>
    <row r="14" spans="2:48" x14ac:dyDescent="0.2">
      <c r="AV14" s="39" t="s">
        <v>46</v>
      </c>
    </row>
    <row r="15" spans="2:48" x14ac:dyDescent="0.2">
      <c r="AV15" s="39" t="s">
        <v>58</v>
      </c>
    </row>
    <row r="16" spans="2:48" x14ac:dyDescent="0.2">
      <c r="AV16" s="39" t="s">
        <v>59</v>
      </c>
    </row>
    <row r="17" spans="48:48" x14ac:dyDescent="0.2">
      <c r="AV17" s="39" t="s">
        <v>60</v>
      </c>
    </row>
    <row r="18" spans="48:48" x14ac:dyDescent="0.2">
      <c r="AV18" s="39" t="s">
        <v>61</v>
      </c>
    </row>
    <row r="19" spans="48:48" x14ac:dyDescent="0.2">
      <c r="AV19" s="39" t="s">
        <v>47</v>
      </c>
    </row>
    <row r="20" spans="48:48" x14ac:dyDescent="0.2">
      <c r="AV20" s="39" t="s">
        <v>62</v>
      </c>
    </row>
    <row r="21" spans="48:48" x14ac:dyDescent="0.2">
      <c r="AV21" s="39" t="s">
        <v>48</v>
      </c>
    </row>
    <row r="22" spans="48:48" x14ac:dyDescent="0.2">
      <c r="AV22" s="39" t="s">
        <v>63</v>
      </c>
    </row>
    <row r="23" spans="48:48" x14ac:dyDescent="0.2">
      <c r="AV23" s="39" t="s">
        <v>64</v>
      </c>
    </row>
    <row r="24" spans="48:48" x14ac:dyDescent="0.2">
      <c r="AV24" s="39" t="s">
        <v>50</v>
      </c>
    </row>
    <row r="25" spans="48:48" x14ac:dyDescent="0.2">
      <c r="AV25" s="39" t="s">
        <v>51</v>
      </c>
    </row>
    <row r="26" spans="48:48" x14ac:dyDescent="0.2">
      <c r="AV26" s="39" t="s">
        <v>54</v>
      </c>
    </row>
  </sheetData>
  <mergeCells count="22">
    <mergeCell ref="AM4:AN4"/>
    <mergeCell ref="AO4:AP4"/>
    <mergeCell ref="AQ4:AR4"/>
    <mergeCell ref="AS4:AT4"/>
    <mergeCell ref="AA4:AB4"/>
    <mergeCell ref="AC4:AD4"/>
    <mergeCell ref="AE4:AF4"/>
    <mergeCell ref="AG4:AH4"/>
    <mergeCell ref="AI4:AJ4"/>
    <mergeCell ref="AK4:AL4"/>
    <mergeCell ref="Y4:Z4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</mergeCells>
  <dataValidations count="1">
    <dataValidation type="list" allowBlank="1" showInputMessage="1" showErrorMessage="1" sqref="B2" xr:uid="{2F832C70-46C0-4C56-93EE-383EF1C7CF0F}">
      <formula1>$AV$3:$AV$26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</vt:vector>
  </HeadingPairs>
  <TitlesOfParts>
    <vt:vector size="10" baseType="lpstr">
      <vt:lpstr>How To</vt:lpstr>
      <vt:lpstr>Raw Data</vt:lpstr>
      <vt:lpstr>Calculations</vt:lpstr>
      <vt:lpstr>Standings</vt:lpstr>
      <vt:lpstr>Playoffs</vt:lpstr>
      <vt:lpstr>Weekly Pts</vt:lpstr>
      <vt:lpstr>Pts Graph</vt:lpstr>
      <vt:lpstr>Ranking</vt:lpstr>
      <vt:lpstr>Match-ups</vt:lpstr>
      <vt:lpstr>Overall Graph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Fiorella</dc:creator>
  <cp:lastModifiedBy>Dave Fiorella</cp:lastModifiedBy>
  <dcterms:created xsi:type="dcterms:W3CDTF">2024-02-05T02:57:59Z</dcterms:created>
  <dcterms:modified xsi:type="dcterms:W3CDTF">2025-12-30T17:45:55Z</dcterms:modified>
</cp:coreProperties>
</file>